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rivassn\Documents\Cybersecurity\Self-Assessment\"/>
    </mc:Choice>
  </mc:AlternateContent>
  <bookViews>
    <workbookView xWindow="-105" yWindow="-105" windowWidth="19425" windowHeight="10425" tabRatio="999"/>
  </bookViews>
  <sheets>
    <sheet name="Cover Page" sheetId="24" r:id="rId1"/>
    <sheet name="Instruction" sheetId="19" r:id="rId2"/>
    <sheet name="3.1 Access Control" sheetId="1" r:id="rId3"/>
    <sheet name="3.2 Awareness and Training" sheetId="3" r:id="rId4"/>
    <sheet name="3.3 Audit and Accountability" sheetId="4" r:id="rId5"/>
    <sheet name="3.4 Configuration Management" sheetId="5" r:id="rId6"/>
    <sheet name="3.5 Identification and Auth." sheetId="6" r:id="rId7"/>
    <sheet name="3.6 Incident Response" sheetId="7" r:id="rId8"/>
    <sheet name="3.7 Maintenance" sheetId="8" r:id="rId9"/>
    <sheet name="3.8 Media Protection" sheetId="9" r:id="rId10"/>
    <sheet name="3.9 Personnel Security" sheetId="10" r:id="rId11"/>
    <sheet name="3.10 Physical Protection" sheetId="11" r:id="rId12"/>
    <sheet name="3.11 Risk Assessment" sheetId="12" r:id="rId13"/>
    <sheet name="3.12 Security Assessment" sheetId="13" r:id="rId14"/>
    <sheet name="3.13 System and Communications" sheetId="14" r:id="rId15"/>
    <sheet name="3.14 System and Information" sheetId="15" r:id="rId16"/>
    <sheet name="Completion of the Questionnaire" sheetId="18" r:id="rId17"/>
    <sheet name="Summary" sheetId="17" r:id="rId18"/>
    <sheet name="Master POAM List" sheetId="23" r:id="rId19"/>
    <sheet name="Reference" sheetId="22" r:id="rId20"/>
    <sheet name="Sheet2" sheetId="2" state="hidden" r:id="rId21"/>
  </sheets>
  <definedNames>
    <definedName name="Options">Sheet2!$A$2:$A$4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2" l="1"/>
  <c r="A4" i="7"/>
  <c r="A3" i="7"/>
  <c r="A2" i="6"/>
  <c r="A4" i="3"/>
  <c r="D12" i="14" l="1"/>
  <c r="D5" i="13"/>
  <c r="D11" i="6"/>
  <c r="D4" i="6"/>
  <c r="D20" i="1"/>
  <c r="D11" i="1" l="1"/>
  <c r="D11" i="14"/>
  <c r="D8" i="15"/>
  <c r="D6" i="15"/>
  <c r="D3" i="15"/>
  <c r="D4" i="15"/>
  <c r="D5" i="15"/>
  <c r="D7" i="15"/>
  <c r="D2" i="15"/>
  <c r="D16" i="14"/>
  <c r="D9" i="14"/>
  <c r="D7" i="14"/>
  <c r="D6" i="14"/>
  <c r="D5" i="14"/>
  <c r="D8" i="14"/>
  <c r="D10" i="14"/>
  <c r="D13" i="14"/>
  <c r="D14" i="14"/>
  <c r="D15" i="14"/>
  <c r="D17" i="14"/>
  <c r="D4" i="14"/>
  <c r="D3" i="14"/>
  <c r="D2" i="14"/>
  <c r="D3" i="13"/>
  <c r="D4" i="13"/>
  <c r="D2" i="13"/>
  <c r="D4" i="12"/>
  <c r="D3" i="12"/>
  <c r="D2" i="12"/>
  <c r="D5" i="11"/>
  <c r="D6" i="11"/>
  <c r="D7" i="11"/>
  <c r="D4" i="11"/>
  <c r="D3" i="11"/>
  <c r="D2" i="11"/>
  <c r="D3" i="10"/>
  <c r="D2" i="10"/>
  <c r="F2" i="10" s="1"/>
  <c r="D10" i="9"/>
  <c r="D9" i="9"/>
  <c r="D8" i="9"/>
  <c r="D7" i="9"/>
  <c r="D6" i="9"/>
  <c r="D5" i="9"/>
  <c r="D4" i="9"/>
  <c r="D3" i="9"/>
  <c r="D2" i="9"/>
  <c r="D7" i="8"/>
  <c r="D6" i="8"/>
  <c r="D4" i="8"/>
  <c r="D3" i="8"/>
  <c r="D5" i="8"/>
  <c r="D2" i="8"/>
  <c r="D4" i="7"/>
  <c r="D3" i="7"/>
  <c r="D2" i="7"/>
  <c r="D12" i="6"/>
  <c r="D6" i="6"/>
  <c r="D7" i="6"/>
  <c r="D8" i="6"/>
  <c r="D9" i="6"/>
  <c r="D10" i="6"/>
  <c r="D5" i="6"/>
  <c r="D3" i="6"/>
  <c r="D2" i="6"/>
  <c r="D10" i="5"/>
  <c r="D5" i="5"/>
  <c r="D4" i="5"/>
  <c r="D3" i="5"/>
  <c r="D6" i="5"/>
  <c r="D7" i="5"/>
  <c r="D8" i="5"/>
  <c r="D9" i="5"/>
  <c r="D2" i="5"/>
  <c r="D9" i="4"/>
  <c r="D10" i="4"/>
  <c r="D8" i="4"/>
  <c r="D7" i="4"/>
  <c r="D5" i="4"/>
  <c r="D4" i="4"/>
  <c r="D3" i="4"/>
  <c r="D6" i="4"/>
  <c r="D2" i="4"/>
  <c r="D4" i="3"/>
  <c r="D3" i="3"/>
  <c r="D2" i="3"/>
  <c r="D18" i="1"/>
  <c r="D19" i="1"/>
  <c r="D17" i="1"/>
  <c r="D14" i="1"/>
  <c r="D13" i="1"/>
  <c r="D6" i="1"/>
  <c r="D5" i="1"/>
  <c r="D7" i="1"/>
  <c r="D8" i="1"/>
  <c r="D9" i="1"/>
  <c r="D10" i="1"/>
  <c r="D12" i="1"/>
  <c r="D15" i="1"/>
  <c r="D16" i="1"/>
  <c r="D21" i="1"/>
  <c r="D22" i="1"/>
  <c r="D23" i="1"/>
  <c r="D4" i="1"/>
  <c r="D3" i="1"/>
  <c r="D2" i="1"/>
  <c r="F2" i="14" l="1"/>
  <c r="F2" i="13"/>
  <c r="F2" i="12"/>
  <c r="F2" i="11"/>
  <c r="F2" i="9"/>
  <c r="F2" i="8"/>
  <c r="F2" i="7"/>
  <c r="F2" i="6"/>
  <c r="F2" i="3"/>
  <c r="F2" i="1"/>
  <c r="F2" i="15"/>
  <c r="F2" i="5"/>
  <c r="F2" i="4"/>
  <c r="A23" i="1"/>
  <c r="C2" i="18"/>
  <c r="A22" i="1" l="1"/>
  <c r="A21" i="1"/>
  <c r="A20" i="1"/>
  <c r="A19" i="1"/>
  <c r="A18" i="1"/>
  <c r="A17" i="1"/>
  <c r="A16" i="1"/>
  <c r="A15" i="1"/>
  <c r="A14" i="1"/>
  <c r="A13" i="1"/>
  <c r="A12" i="1"/>
  <c r="A11" i="1"/>
  <c r="A10" i="1"/>
  <c r="A9" i="1"/>
  <c r="A8" i="1"/>
  <c r="A7" i="1"/>
  <c r="A6" i="1"/>
  <c r="A5" i="1"/>
  <c r="A4" i="1"/>
  <c r="A3" i="1"/>
  <c r="A8" i="15" l="1"/>
  <c r="A7" i="15"/>
  <c r="A6" i="15"/>
  <c r="A5" i="15"/>
  <c r="A4" i="15"/>
  <c r="A3" i="15"/>
  <c r="A2" i="15"/>
  <c r="A17" i="14"/>
  <c r="A16" i="14"/>
  <c r="A15" i="14"/>
  <c r="A14" i="14"/>
  <c r="A13" i="14"/>
  <c r="A12" i="14"/>
  <c r="A11" i="14"/>
  <c r="A10" i="14"/>
  <c r="A9" i="14"/>
  <c r="A8" i="14"/>
  <c r="A7" i="14"/>
  <c r="A6" i="14"/>
  <c r="A5" i="14"/>
  <c r="A4" i="14"/>
  <c r="A3" i="14"/>
  <c r="A2" i="14"/>
  <c r="A5" i="13"/>
  <c r="A4" i="13"/>
  <c r="A3" i="13"/>
  <c r="A2" i="13"/>
  <c r="A4" i="12"/>
  <c r="A2" i="12"/>
  <c r="A7" i="11"/>
  <c r="A6" i="11"/>
  <c r="A5" i="11"/>
  <c r="A4" i="11"/>
  <c r="A3" i="11"/>
  <c r="A2" i="11"/>
  <c r="A3" i="10"/>
  <c r="A2" i="10"/>
  <c r="A10" i="9"/>
  <c r="A9" i="9"/>
  <c r="A8" i="9"/>
  <c r="A2" i="9"/>
  <c r="A7" i="9"/>
  <c r="A6" i="9"/>
  <c r="A5" i="9"/>
  <c r="A4" i="9"/>
  <c r="A3" i="9"/>
  <c r="A2" i="8"/>
  <c r="A3" i="8"/>
  <c r="A4" i="8"/>
  <c r="A5" i="8"/>
  <c r="A6" i="8"/>
  <c r="A7" i="8"/>
  <c r="A2" i="7"/>
  <c r="A11" i="6"/>
  <c r="A12" i="6"/>
  <c r="A10" i="6"/>
  <c r="A9" i="6"/>
  <c r="A8" i="6"/>
  <c r="A7" i="6"/>
  <c r="A6" i="6"/>
  <c r="A4" i="6"/>
  <c r="A5" i="6"/>
  <c r="A3" i="6"/>
  <c r="A10" i="5"/>
  <c r="A9" i="5"/>
  <c r="A8" i="5"/>
  <c r="A7" i="5"/>
  <c r="A6" i="5"/>
  <c r="A5" i="5"/>
  <c r="A4" i="5"/>
  <c r="A3" i="5"/>
  <c r="A2" i="5"/>
  <c r="A10" i="4"/>
  <c r="A9" i="4"/>
  <c r="A8" i="4"/>
  <c r="A7" i="4"/>
  <c r="A6" i="4"/>
  <c r="A5" i="4"/>
  <c r="A4" i="4"/>
  <c r="A3" i="4"/>
  <c r="A2" i="4"/>
  <c r="A3" i="3"/>
  <c r="A2" i="3"/>
  <c r="A2" i="1"/>
  <c r="C15" i="18" l="1"/>
  <c r="C14" i="18"/>
  <c r="C13" i="18"/>
  <c r="C11" i="18"/>
  <c r="C10" i="18"/>
  <c r="C9" i="18"/>
  <c r="C8" i="18"/>
  <c r="C7" i="18"/>
  <c r="C6" i="18"/>
  <c r="C5" i="18"/>
  <c r="C4" i="18"/>
  <c r="C3" i="18"/>
  <c r="C12" i="18"/>
  <c r="C6" i="17" l="1"/>
  <c r="C5" i="17"/>
  <c r="C3" i="17"/>
  <c r="C4" i="17"/>
  <c r="C13" i="17" l="1"/>
  <c r="C2" i="17"/>
  <c r="C7" i="17"/>
  <c r="C14" i="17"/>
  <c r="C12" i="17"/>
  <c r="C11" i="17"/>
  <c r="C10" i="17"/>
  <c r="C8" i="17"/>
  <c r="C9" i="17"/>
  <c r="C15" i="17"/>
  <c r="C16" i="17" l="1"/>
</calcChain>
</file>

<file path=xl/sharedStrings.xml><?xml version="1.0" encoding="utf-8"?>
<sst xmlns="http://schemas.openxmlformats.org/spreadsheetml/2006/main" count="485" uniqueCount="410">
  <si>
    <t>3.1.1</t>
  </si>
  <si>
    <t>Limit system access to authorized users, processes acting on behalf of authorized users, and devices (including other systems).</t>
  </si>
  <si>
    <t>3.1.2</t>
  </si>
  <si>
    <t>Access Control</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</si>
  <si>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</si>
  <si>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</si>
  <si>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</si>
  <si>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Employ the principle of least privilege, including for specific security functions and privileged accounts.</t>
  </si>
  <si>
    <t>Use non-privileged accounts or roles when accessing nonsecurity functions.</t>
  </si>
  <si>
    <t>Prevent non-privileged users from executing privileged functions and capture the execution of such functions in audit logs.</t>
  </si>
  <si>
    <t>Limit unsuccessful logon attempts.</t>
  </si>
  <si>
    <t>Provide privacy and security notices consistent with applicable CUI rules.</t>
  </si>
  <si>
    <t>Use session lock with pattern-hiding displays to prevent access and viewing of data after a period of inactivity.</t>
  </si>
  <si>
    <t>Terminate (automatically) a user session after a defined condition.</t>
  </si>
  <si>
    <t>Monitor and control remote access sessions.</t>
  </si>
  <si>
    <t>Employ cryptographic mechanisms to protect the confidentiality of remote access sessions.</t>
  </si>
  <si>
    <t>Route remote access via managed access control points.</t>
  </si>
  <si>
    <t>3.1.3</t>
  </si>
  <si>
    <t>3.1.4</t>
  </si>
  <si>
    <t>3.1.5</t>
  </si>
  <si>
    <t>3.1.6</t>
  </si>
  <si>
    <t>3.1.7</t>
  </si>
  <si>
    <t>3.1.8</t>
  </si>
  <si>
    <t>3.1.9</t>
  </si>
  <si>
    <t>3.1.10</t>
  </si>
  <si>
    <t>3.1.11</t>
  </si>
  <si>
    <t>3.1.12</t>
  </si>
  <si>
    <t>3.1.13</t>
  </si>
  <si>
    <t>3.1.14</t>
  </si>
  <si>
    <t>Authorize remote execution of privileged commands and remote access to security-relevant information.</t>
  </si>
  <si>
    <t>Authorize wireless access prior to allowing such connections.</t>
  </si>
  <si>
    <t>Protect wireless access using authentication and encryption.</t>
  </si>
  <si>
    <t>Control connection of mobile devices.</t>
  </si>
  <si>
    <t>Verify and control/limit connections to and use of external systems.</t>
  </si>
  <si>
    <t>Limit use of portable storage devices on external systems.</t>
  </si>
  <si>
    <t>Control CUI posted or processed on publicly accessible systems.</t>
  </si>
  <si>
    <t>3.1.15</t>
  </si>
  <si>
    <t>3.1.16</t>
  </si>
  <si>
    <t>3.1.17</t>
  </si>
  <si>
    <t>3.1.18</t>
  </si>
  <si>
    <t>3.1.19</t>
  </si>
  <si>
    <t>3.1.20</t>
  </si>
  <si>
    <t>3.1.21</t>
  </si>
  <si>
    <t>3.1.22</t>
  </si>
  <si>
    <t>Awareness and Training</t>
  </si>
  <si>
    <t>3.2.1</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</si>
  <si>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</si>
  <si>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</si>
  <si>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Provide security awareness training on recognizing and reporting potential indicators of insider threat.</t>
  </si>
  <si>
    <t>Audit and Accountability</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</si>
  <si>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</si>
  <si>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</si>
  <si>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Review and update logged events.</t>
  </si>
  <si>
    <t>Alert in the event of an audit logging process failure.</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</si>
  <si>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</si>
  <si>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</si>
  <si>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</si>
  <si>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</si>
  <si>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Limit management of audit logging functionality to a subset of privileged users.</t>
  </si>
  <si>
    <t>Configuration Management</t>
  </si>
  <si>
    <t>Establish and maintain baseline configurations and inventories of organizational systems (including hardware, software, firmware, and documentation) throughout the respective system development life cycles.</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</si>
  <si>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</si>
  <si>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</si>
  <si>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</si>
  <si>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Define, document, approve, and enforce physical and logical access restrictions associated with changes to organizational systems.</t>
  </si>
  <si>
    <t>Employ the principle of least functionality by configuring organizational systems to provide only essential capabilities.</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</si>
  <si>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</si>
  <si>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</si>
  <si>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Control and monitor user-installed software.</t>
  </si>
  <si>
    <t>Identification and Authentication</t>
  </si>
  <si>
    <t>Identify system users, processes acting on behalf of users, and devices.</t>
  </si>
  <si>
    <t>Authenticate (or verify) the identities of users, processes, or devices, as a prerequisite to allowing access to organizational systems.</t>
  </si>
  <si>
    <t>Use multifactor authentication for local and network access to privileged accounts and for network access to non-privileged accounts</t>
  </si>
  <si>
    <t>Employ replay-resistant authentication mechanisms for network access to privileged and non-privileged accounts.</t>
  </si>
  <si>
    <t>Prevent reuse of identifiers for a defined period.</t>
  </si>
  <si>
    <t>Disable identifiers after a defined period of inactivity.</t>
  </si>
  <si>
    <t>Enforce a minimum password complexity and change of characters when new passwords are created.</t>
  </si>
  <si>
    <t>Prohibit password reuse for a specified number of generations.</t>
  </si>
  <si>
    <t>Allow temporary password use for system logons with an immediate change to a permanent password.</t>
  </si>
  <si>
    <t>Store and transmit only cryptographically-protected passwords.</t>
  </si>
  <si>
    <t>Obscure feedback of authentication information.</t>
  </si>
  <si>
    <t>Incident Response</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</si>
  <si>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</si>
  <si>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</si>
  <si>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Test the organizational incident response capability.</t>
  </si>
  <si>
    <t>Perform maintenance on organizational systems.</t>
  </si>
  <si>
    <t>Maintenance</t>
  </si>
  <si>
    <t>Provide controls on the tools, techniques, mechanisms, and personnel used to conduct system maintenance.</t>
  </si>
  <si>
    <t>Ensure equipment removed for off-site maintenance is sanitized of any CUI.</t>
  </si>
  <si>
    <t>Check media containing diagnostic and test programs for malicious code before the media are used in organizational systems.</t>
  </si>
  <si>
    <t>Require multifactor authentication to establish nonlocal maintenance sessions via external network connections and terminate such connections when nonlocal maintenance is complete.</t>
  </si>
  <si>
    <t>Supervise the maintenance activities of maintenance personnel without required access authorization.</t>
  </si>
  <si>
    <t>Media Protection</t>
  </si>
  <si>
    <t>Protect (i.e., physically control and securely store) system media containing CUI, both paper and digital.</t>
  </si>
  <si>
    <t>Limit access to CUI on system media to authorized users.</t>
  </si>
  <si>
    <t>Sanitize or destroy system media containing CUI before disposal or release for reuse.</t>
  </si>
  <si>
    <t>Mark media with necessary CUI markings and distribution limitations.</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</si>
  <si>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</si>
  <si>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</si>
  <si>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Control the use of removable media on system components.</t>
  </si>
  <si>
    <t>Prohibit the use of portable storage devices when such devices have no identifiable owner.</t>
  </si>
  <si>
    <t>Protect the confidentiality of backup CUI at storage locations.</t>
  </si>
  <si>
    <t>Personnel Security</t>
  </si>
  <si>
    <t>Screen individuals prior to authorizing access to organizational systems containing CUI.</t>
  </si>
  <si>
    <t>Ensure that organizational systems containing CUI are protected during and after personnel actions such as terminations and transfers.</t>
  </si>
  <si>
    <t>3.10</t>
  </si>
  <si>
    <t>Limit physical access to organizational systems, equipment, and the respective operating environments to authorized individuals.</t>
  </si>
  <si>
    <t>Physical Protection</t>
  </si>
  <si>
    <t>Protect and monitor the physical facility and support infrastructure for organizational systems.</t>
  </si>
  <si>
    <t>Escort visitors and monitor visitor activity.</t>
  </si>
  <si>
    <t>Maintain audit logs of physical access.</t>
  </si>
  <si>
    <t>Control and manage physical access devices.</t>
  </si>
  <si>
    <t>Enforce safeguarding measures for CUI at alternate work sites.</t>
  </si>
  <si>
    <t>Risk Assessment</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</si>
  <si>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</si>
  <si>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</si>
  <si>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Remediate vulnerabilities in accordance with risk assessments.</t>
  </si>
  <si>
    <t>Security Assessment</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</si>
  <si>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</si>
  <si>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</si>
  <si>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Monitor security controls on an ongoing basis to ensure the continued effectiveness of the controls.</t>
  </si>
  <si>
    <t>Develop, document, and periodically update system security plans that describe system boundaries, system environments of operation, how security requirements are implemented, and the relationships with or connections to other systems.</t>
  </si>
  <si>
    <t>System and Communications Protection</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</si>
  <si>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</si>
  <si>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</si>
  <si>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Separate user functionality from system management functionality.</t>
  </si>
  <si>
    <t>Prevent unauthorized and unintended information transfer via shared system resources.</t>
  </si>
  <si>
    <t>Implement subnetworks for publicly accessible system components that are physically or logically separated from internal networks.</t>
  </si>
  <si>
    <t>Deny network communications traffic by default and allow network communications traffic by exception (i.e., deny all, permit by exception).</t>
  </si>
  <si>
    <t>Prevent remote devices from simultaneously establishing non-remote connections with organizational systems and communicating via some other connection to resources in external networks (i.e., split tunneling).</t>
  </si>
  <si>
    <t>Implement cryptographic mechanisms to prevent unauthorized disclosure of CUI during transmission unless otherwise protected by alternative physical safeguards.</t>
  </si>
  <si>
    <t>Terminate network connections associated with communications sessions at the end of the sessions or after a defined period of inactivity.</t>
  </si>
  <si>
    <t>Establish and manage cryptographic keys for cryptography employed in organizational systems.</t>
  </si>
  <si>
    <t>Employ FIPS-validated cryptography when used to protect the confidentiality of CUI.</t>
  </si>
  <si>
    <t>Prohibit remote activation of collaborative computing devices and provide indication of devices in use to users present at the device</t>
  </si>
  <si>
    <t>Control and monitor the use of mobile code.</t>
  </si>
  <si>
    <t>Protect the authenticity of communications sessions.</t>
  </si>
  <si>
    <t>Protect the confidentiality of CUI at rest.</t>
  </si>
  <si>
    <t>System and Information Integrity</t>
  </si>
  <si>
    <t>Identify, report, and correct system flaws in a timely manner.</t>
  </si>
  <si>
    <t>Provide protection from malicious code at designated locations within organizational systems.</t>
  </si>
  <si>
    <t>Monitor system security alerts and advisories and take action in response.</t>
  </si>
  <si>
    <t>Update malicious code protection mechanisms when new releases are available.</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</si>
  <si>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</si>
  <si>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</si>
  <si>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Identify unauthorized use of organizational systems.</t>
  </si>
  <si>
    <t>3.2.2</t>
  </si>
  <si>
    <t>3.2.3</t>
  </si>
  <si>
    <t>3.3.1</t>
  </si>
  <si>
    <t>3.3.2</t>
  </si>
  <si>
    <t>3.3.3</t>
  </si>
  <si>
    <t>3.3.4</t>
  </si>
  <si>
    <t>3.3.5</t>
  </si>
  <si>
    <t>3.3.6</t>
  </si>
  <si>
    <t>3.3.7</t>
  </si>
  <si>
    <t>3.3.8</t>
  </si>
  <si>
    <t>3.3.9</t>
  </si>
  <si>
    <t>3.4.1</t>
  </si>
  <si>
    <t>3.4.2</t>
  </si>
  <si>
    <t>3.4.3</t>
  </si>
  <si>
    <t>3.4.4</t>
  </si>
  <si>
    <t>3.4.5</t>
  </si>
  <si>
    <t>3.4.6</t>
  </si>
  <si>
    <t>3.4.7</t>
  </si>
  <si>
    <t>3.4.8</t>
  </si>
  <si>
    <t>3.4.9</t>
  </si>
  <si>
    <t>3.5.1</t>
  </si>
  <si>
    <t>3.5.2</t>
  </si>
  <si>
    <t>3.5.3</t>
  </si>
  <si>
    <t>3.5.4</t>
  </si>
  <si>
    <t>3.5.5</t>
  </si>
  <si>
    <t>3.5.6</t>
  </si>
  <si>
    <t>3.5.7</t>
  </si>
  <si>
    <t>3.5.8</t>
  </si>
  <si>
    <t>3.5.9</t>
  </si>
  <si>
    <t>3.5.10</t>
  </si>
  <si>
    <t>3.5.11</t>
  </si>
  <si>
    <t>3.6.1</t>
  </si>
  <si>
    <t>3.6.2</t>
  </si>
  <si>
    <t>3.6.3</t>
  </si>
  <si>
    <t>3.7.1</t>
  </si>
  <si>
    <t>3.7.2</t>
  </si>
  <si>
    <t>3.7.3</t>
  </si>
  <si>
    <t>3.7.4</t>
  </si>
  <si>
    <t>3.7.5</t>
  </si>
  <si>
    <t>3.7.6</t>
  </si>
  <si>
    <t>3.8.1</t>
  </si>
  <si>
    <t>3.8.2</t>
  </si>
  <si>
    <t>3.8.3</t>
  </si>
  <si>
    <t>3.8.4</t>
  </si>
  <si>
    <t>3.8.5</t>
  </si>
  <si>
    <t>3.8.6</t>
  </si>
  <si>
    <t>3.8.7</t>
  </si>
  <si>
    <t>3.8.8</t>
  </si>
  <si>
    <t>3.8.9</t>
  </si>
  <si>
    <t>3.9.1</t>
  </si>
  <si>
    <t>3.10.1</t>
  </si>
  <si>
    <t>3.10.2</t>
  </si>
  <si>
    <t>3.10.3</t>
  </si>
  <si>
    <t>3.10.4</t>
  </si>
  <si>
    <t>3.10.5</t>
  </si>
  <si>
    <t>3.10.6</t>
  </si>
  <si>
    <t>3.11.1</t>
  </si>
  <si>
    <t>3.11.2</t>
  </si>
  <si>
    <t>3.11.3</t>
  </si>
  <si>
    <t>3.12.1</t>
  </si>
  <si>
    <t>3.12.2</t>
  </si>
  <si>
    <t>3.12.3</t>
  </si>
  <si>
    <t>3.12.4</t>
  </si>
  <si>
    <t>3.13.1</t>
  </si>
  <si>
    <t>3.13.2</t>
  </si>
  <si>
    <t>3.13.3</t>
  </si>
  <si>
    <t>3.13.4</t>
  </si>
  <si>
    <t>3.13.5</t>
  </si>
  <si>
    <t>3.13.6</t>
  </si>
  <si>
    <t>3.13.7</t>
  </si>
  <si>
    <t>3.13.8</t>
  </si>
  <si>
    <t>3.13.9</t>
  </si>
  <si>
    <t>3.13.10</t>
  </si>
  <si>
    <t>3.13.11</t>
  </si>
  <si>
    <t>3.13.12</t>
  </si>
  <si>
    <t>3.13.13</t>
  </si>
  <si>
    <t>3.13.14</t>
  </si>
  <si>
    <t>3.13.15</t>
  </si>
  <si>
    <t>3.13.16</t>
  </si>
  <si>
    <t>3.14.1</t>
  </si>
  <si>
    <t>3.14.2</t>
  </si>
  <si>
    <t>3.14.3</t>
  </si>
  <si>
    <t>3.14.4</t>
  </si>
  <si>
    <t>3.14.5</t>
  </si>
  <si>
    <t>3.14.6</t>
  </si>
  <si>
    <t>3.14.7</t>
  </si>
  <si>
    <t>Answer</t>
  </si>
  <si>
    <t>Not Applicable</t>
  </si>
  <si>
    <t>Options</t>
  </si>
  <si>
    <t>3.9.2</t>
  </si>
  <si>
    <t>Score</t>
  </si>
  <si>
    <t xml:space="preserve">                      </t>
  </si>
  <si>
    <t>Implemented</t>
  </si>
  <si>
    <t>Planned to be implemented</t>
  </si>
  <si>
    <t>Completion</t>
  </si>
  <si>
    <t xml:space="preserve">Security Family </t>
  </si>
  <si>
    <t xml:space="preserve">Subject </t>
  </si>
  <si>
    <t xml:space="preserve">Awareness and Training </t>
  </si>
  <si>
    <t xml:space="preserve">Audit and Accountability </t>
  </si>
  <si>
    <t xml:space="preserve">Configuration Management </t>
  </si>
  <si>
    <t xml:space="preserve">Identification and Authentication </t>
  </si>
  <si>
    <t xml:space="preserve">Incident Response </t>
  </si>
  <si>
    <t xml:space="preserve">Personnel Security </t>
  </si>
  <si>
    <t xml:space="preserve">Physical Protection </t>
  </si>
  <si>
    <t xml:space="preserve">Security Assessment </t>
  </si>
  <si>
    <t>Systems and Communications Protection</t>
  </si>
  <si>
    <t xml:space="preserve">Systems and Information Integrity  </t>
  </si>
  <si>
    <t>Control and monitor the use of Voice over Internet Protocol (VoIP) technologies.</t>
  </si>
  <si>
    <t>Section Code</t>
  </si>
  <si>
    <t>Discussion</t>
  </si>
  <si>
    <t>Access control policies (e.g., identity- or role-based policies, control matrices, and cryptography) control access between active entities or subjects (i.e., users or processes acting on behalf of users) and passive entities or objects (e.g., devices, files, records, and domains) in systems. Access enforcement mechanisms can be employed at the application and service level to provide increased information security. Other systems include systems internal and external to the organization. This requirement focuses on account management for systems and applications. The definition of and enforcement of access authorizations, other than those determined by account type (e.g., privileged verses non-privileged) are addressed in requirement 3.1.2.</t>
  </si>
  <si>
    <t>Organizations may choose to define access privileges or other attributes by account, by type of account, or a combination of both. System account types include individual, shared, group, system, anonymous, guest, emergency, developer, manufacturer, vendor, and temporary. Other attributes required for authorizing access include restrictions on time-of-day, day-of-week, and point-of-origin. In defining other account attributes, organizations consider system-related requirements (e.g., system upgrades scheduled maintenance,) and mission or business requirements, (e.g., time zone differences, customer requirements, remote access to support travel requirements).</t>
  </si>
  <si>
    <t>Information flow control regulates where information can travel within a system and between systems (versus who can access the information) and without explicit regard to subsequent accesses to that information. Flow control restrictions include the following: keeping export-controlled information from being transmitted in the clear to the Internet; blocking outside traffic that claims to be from within the organization; restricting requests to the Internet that are not from the internal web proxy server; and limiting information transfers between organizations based on data structures and content.</t>
  </si>
  <si>
    <t>Separation of duties addresses the potential for abuse of authorized privileges and helps to reduce the risk of malevolent activity without collusion. Separation of duties includes dividing mission functions and system support functions among different individuals or roles; conducting system support functions with different individuals (e.g., configuration management, quality assurance and testing, system management, programming, and network security); and ensuring that security personnel administering access control functions do not also administer audit functions. Because separation of duty violations can span systems and application domains, organizations consider the entirety of organizational systems and system components when developing policy on separation of duties.</t>
  </si>
  <si>
    <t>Organizations employ the principle of least privilege for specific duties and authorized accesses for users and processes. The principle of least privilege is applied with the goal of authorized privileges no higher than necessary to accomplish required organizational missions or business functions. Organizations consider the creation of additional processes, roles, and system accounts as necessary, to achieve least privilege. Organizations also apply least privilege to the development, implementation, and operation of organizational systems. Security functions include establishing system accounts, setting events to be logged, setting intrusion detection parameters, and configuring access authorizations (i.e., permissions, privileges).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 or functions. Organizations may differentiate in the application of this requirement between allowed privileges for local accounts and for domain accounts provided organizations retain the ability to control system configurations for key security parameters and as otherwise necessary to sufficiently mitigate risk.</t>
  </si>
  <si>
    <t>This requirement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the user and all processes acting on behalf of the user as would be provided by a change between a privileged and non-privileged account.</t>
  </si>
  <si>
    <t>Privileged functions include establishing system accounts, performing system integrity checks, conducting patching operations,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 Note that this requirement represents a condition to be achieved by the definition of authorized privileges in 3.1.2.
Misuse of privileged functions, either intentionally or unintentionally by authorized users, or by unauthorized external entities that have compromised system accounts, is a serious and ongoing concern and can have significant adverse impacts on organizations. Logging the use of privileged functions is one way to detect such misuse, and in doing so, help mitigate the risk from insider threats and the advanced persistent threat.</t>
  </si>
  <si>
    <t>This requirement applies regardless of whether the logon occurs via a local or network connection. Due to the potential for denial of service, automatic lockouts initiated by systems are, in most cases, temporary and automatically release after a predetermined period established by the organization (i.e., a delay algorithm). If a delay algorithm is selected, organizations may employ different algorithms for different system components based on the capabilities of the respective components. Responses to unsuccessful logon attempts may be implemented at the operating system and application levels.</t>
  </si>
  <si>
    <t>System use notifications can be implemented using messages or warning banners displayed before individuals log in to organizational systems. System use notifications are used only for access via logon interfaces with human users and are not required when such human interfaces do not exist. Based on a risk assessment, organizations consider whether a secondary system use notification is needed to access applications or other system resources after the initial network logon. Where necessary, posters or other printed materials may be used in lieu of an automated system banner. Organizations consult with the Office of General Counsel for legal review and approval of warning banner content.</t>
  </si>
  <si>
    <t>Session locks are temporary actions taken when users stop work and move away from the immediate vicinity of the system but do not want to log out because of the temporary nature of their absences. Session locks are implemented where session activities can be determined, typically at the operating system level (but can also be at the application level). Session locks are not an acceptable substitute for logging out of the system, for example, if organizations require users to log out at the end of the workday.
Pattern-hiding displays can include static or dynamic images, for example, patterns used with screen savers, photographic images, solid colors, clock, battery life indicator, or a blank screen, with the additional caveat that none of the images convey controlled unclassified information.</t>
  </si>
  <si>
    <t>This requirement addresses the termination of user-initiated logical sessions in contrast to the termination of network connections that are associated with communications sessions (i.e., disconnecting from the network). A logical session (for local, network, and remote access) is initiated whenever a user (or process acting on behalf of a user) accesses an organizational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organization-defined periods of user inactivity, targeted responses to certain types of incidents, and time-of-day restrictions on system use.</t>
  </si>
  <si>
    <t>Remote access is access to organizational systems by users (or processes acting on behalf of users) communicating through external networks (e.g., the Internet). Remote access methods include dial-up, broadband, and wireless. Organizations often employ encrypted virtual private networks (VPNs) to enhance confidentiality over remote connections. The use of encrypted VPNs does not make the access non-remote; however, the use of VPNs, when adequately provisioned with appropriate control (e.g., employing encryption techniques for confidentiality protection), may provide sufficient assurance to the organization that it can effectively treat such connections as internal networks. VPNs with encrypted tunnels can affect the capability to adequately monitor network communications traffic for malicious code.</t>
  </si>
  <si>
    <t>Routing remote access through managed access control points enhances explicit, organizational control over such connections, reducing the susceptibility to unauthorized access to organizational systems resulting in the unauthorized disclosure of CUI.</t>
  </si>
  <si>
    <t>A privileged command is a human-initiated (interactively or via a process operating on behalf of the human) command executed on a system involving the control, monitoring, or administration of the system including security functions and associated security-relevant information. Security-relevant information is any information within the system that can potentially impact the operation of security functions or the provision of security services in a manner that could result in failure to enforce the system security policy or maintain isolation of code and data. Privileged commands give individuals the ability to execute sensitive, security-critical, or security-relevant system functions. Controlling such access from remote locations helps to ensure that unauthorized individuals are not able to execute such commands freely with the potential to do serious or catastrophic damage to organizational systems. Note that the ability to affect the integrity of the system is considered security-relevant as that could enable the means to by-pass security functions although not directly impacting the function itself.</t>
  </si>
  <si>
    <t>External systems are systems or components of systems for which organizations typically have no direct supervision and authority over the application of security requirements and controls or the determination of the effectiveness of implemented controls on those systems. External systems include personally owned systems, components, or devices and privately-owned computing and communications devices resident in commercial or public facilities. This requirement also addresses the use of external systems for the processing, storage, or transmission of CUI, including accessing cloud services (e.g., infrastructure as a service, platform as a service, or software as a service) from organizational systems.</t>
  </si>
  <si>
    <t>Limits on the use of organization-controlled portable storage devices in external systems include complete prohibition of the use of such devices or restrictions on how the devices may be used and under what conditions the devices may be used. Note that while “external” typically refers to outside of the organization’s direct supervision and authority, that is not always the case. Regarding the protection of CUI across an organization, the organization may have systems that process CUI and others that do not. Among the systems that process CUI there are likely access restrictions for CUI that apply between systems. Therefore, from the perspective of a given system, other systems within the organization may be considered “external" to that system.</t>
  </si>
  <si>
    <t>In accordance with laws, Executive Orders, directives, policies, regulations, or standards, the public is not authorized access to nonpublic information (e.g., information protected under the Privacy Act, CUI, and proprietary information). This requirement addresses systems that are controlled by the organization and accessible to the public, typically without identification or authentication. Individuals authorized to post CUI onto publicly accessible systems are designated. The content of information is reviewed prior to posting onto publicly accessible systems to ensure that nonpublic information is not included.</t>
  </si>
  <si>
    <t>Organizations determine the content and frequency of security awareness training and security awareness techniques based on the specific organizational requirements and the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include: formal training; offering supplies inscribed with security reminders; generating email advisories or notices from organizational officials; displaying logon screen messages; displaying security awareness posters; and conducting information security awareness events.</t>
  </si>
  <si>
    <t>Potential indicators and possible precursors of insider threat include behaviors such as: inordinate, long-term job dissatisfaction; attempts to gain access to information that is not required for job performance; unexplained access to financial resources; bullying or sexual harassment of fellow employees; workplace violence; and other serious violations of the policies, procedures, directives, rules, or practices of organizations. Security awareness training includes how to communicate employee and management concerns regarding potential indicators of insider threat through appropriate organizational channels in accordance with established organizational policies and procedures. Organizations may consider tailoring insider threat awareness topics to the role (e.g., training for managers may be focused on specific changes in behavior of team members, while training for employees may be focused on more general observations).</t>
  </si>
  <si>
    <t>An event is any observable occurrence in a system, which includes unlawful or unauthorized system activity. Organizations identify event types for which a logging functionality is needed as those events which are significant and relevant to the security of systems and the environments in which those systems operate to meet specific and ongoing auditing needs. Event types can include password changes, failed logons or failed accesses related to systems, administrative privilege usage, or third-party credential usage. In determining event types that require logging, organizations consider the monitoring and auditing appropriate for each of the CUI security requirements. Monitoring and auditing requirements can be balanced with other system needs. For example, organizations may determine that systems must have the capability to log every file access both successful and unsuccessful, but not activate that capability except for specific circumstances due to the potential burden on system performance.
Audit records can be generated at various levels of abstraction, including at the packet level as information traverses the network. Selecting the appropriate level of abstraction is a critical aspect of an audit logging capability and can facilitate the identification of root causes to problems. Organizations consider in the definition of event types, the logging necessary to cover related events such as the steps in distributed, transaction-based processes (e.g., processes that are distributed across multiple organizations) and actions that occur in service-oriented or cloud-based architectures.</t>
  </si>
  <si>
    <t>This requirement ensures that the contents of the audit record include the information needed to link the audit event to the actions of an individual to the extent feasible. Organizations consider logging for traceability including results from monitoring of account usage, remote access, wireless connectivity, mobile device connection, communications at system boundaries, configuration settings, physical access, nonlocal maintenance, use of maintenance tools, temperature and humidity, equipment delivery and removal, system component inventory, use of mobile code, and use of Voice over Internet Protocol (VoIP).</t>
  </si>
  <si>
    <t>The intent of this requirement is to periodically re-evaluate which logged events will continue to be included in the list of events to be logged. The event types that are logged by organizations may change over time. Reviewing and updating the set of logged event types periodically is necessary to ensure that the current set remains necessary and sufficient.</t>
  </si>
  <si>
    <t>Audit logging process failures include software and hardware errors, failures in the audit record capturing mechanisms, and audit record storage capacity being reached or exceeded. This requirement applies to each audit record data storage repository (i.e., distinct system component where audit records are stored), the total audit record storage capacity of organizations (i.e., all audit record data storage repositories combined), or both.</t>
  </si>
  <si>
    <t>Correlating audit record review, analysis, and reporting processes helps to ensure that they do not operate independently, but rather collectively. Regarding the assessment of a given organizational system, the requirement is agnostic as to whether this correlation is applied at the system level or at the organization level across all systems.</t>
  </si>
  <si>
    <t>Audit record reduction is a process that manipulates collected audit information and organizes such information in a summary format that is more meaningful to analysts. Audit record reduction and report generation capabilities do not always emanate from the same system or organizational entities conducting auditing activities. Audit record reduction capability can include, for example, modern data mining techniques with advanced data filters to identify anomalous behavior in audit records. The report generation capability provided by the system can help generate customizable reports. Time ordering of audit records can be a significant issue if the granularity of the time stamp in the record is insufficient.</t>
  </si>
  <si>
    <t>Audit information includes all information (e.g., audit records, audit log settings, and audit reports) needed to successfully audit system activity. Audit logging tools are those programs and devices used to conduct audit and logging activities. This requirement focuses on the technical protection of audit information and limits the ability to access and execute audit logging tools to authorized individuals. Physical protection of audit information is addressed by media protection and physical and environmental protection requirements.</t>
  </si>
  <si>
    <t>Individuals with privileged access to a system and who are also the subject of an audit by that system, may affect the reliability of audit information by inhibiting audit logging activities or modifying audit records. This requirement specifies that privileged access be further defined between audit-related privileges and other privileges, thus limiting the users with audit-related privileges.</t>
  </si>
  <si>
    <t>Baseline configurations are documented, formally reviewed, and agreed-upon specifications for systems or configuration items within those systems. Baseline configurations serve as a basis for future builds, releases, and changes to systems. Baseline configurations include information about system components (e.g., standard software packages installed on workstations, notebook computers, servers, network components, or mobile devices; current version numbers and update and patch information on operating systems and applications; and configuration settings and parameters), network topology, and the logical placement of those components within the system architecture. Baseline configurations of systems also reflect the current enterprise architecture. Maintaining effective baseline configurations requires creating new baselines as organizational systems change over time. Baseline configuration maintenance includes reviewing and updating the baseline configuration when changes are made based on security risks and deviations from the established baseline configuration</t>
  </si>
  <si>
    <t>Configuration settings are the set of parameters that can be changed in hardware, software, or firmware components of the system that affect the security posture or functionality of the system. Information technology products for which security-related configuration settings can be defined include mainframe computers, servers, workstations, input and output devices (e.g., scanners, copiers, and printers), network components (e.g., firewalls, routers, gateways, voice and data switches, wireless access points, network appliances, sensors), operating systems, middleware, and applications.
Security parameters are those parameters impacting the security state of systems including the parameters required to satisfy other security requirements. Security parameters include: registry settings; account, file, directory permission settings; and settings for functions, ports, protocols, and remote connections. Organizations establish organization-wide configuration settings and subsequently derive specific configuration settings for systems. The established settings become part of the systems configuration baseline.</t>
  </si>
  <si>
    <t>Tracking, reviewing, approving/disapproving, and logging changes is called configuration change control. Configuration change control for organizational systems involves the systematic proposal, justification, implementation, testing, review, and disposition of changes to the systems, including system upgrades and modifications. Configuration change control includes changes to baseline configurations for components and configuration items of systems, changes to configuration settings for information technology products (e.g., operating systems, applications, firewalls, routers, and mobile devices), unscheduled and unauthorized changes, and changes to remediate vulnerabilities.
Processes for managing configuration changes to systems include Configuration Control Boards or Change Advisory Boards that review and approve proposed changes to systems. For new development systems or systems undergoing major upgrades, organizations consider including representatives from development organizations on the Configuration Control Boards or Change Advisory Boards. Audit logs of changes include activities before and after changes are made to organizational systems and the activities required to implement such changes.</t>
  </si>
  <si>
    <t>Organizational personnel with information security responsibilities (e.g., system administrators, system security officers, system security managers, and systems security engineers) conduct security impact analyses. Individuals conducting security impact analyses possess the necessary skills and technical expertise to analyze the changes to systems and the associated security ramifications. Security impact analysis may include reviewing security plans to understand security requirements and reviewing system design documentation to understand the implementation of controls and how specific changes might affect the controls. Security impact analyses may also include risk assessments to better understand the impact of the changes and to determine if additional controls are required.</t>
  </si>
  <si>
    <t>Any changes to the hardware, software, or firmware components of systems can potentially have significant effects on the overall security of the systems. Therefore, organizations permit only qualified and authorized individuals to access systems for purposes of initiating changes, including upgrades and modifications. Access restrictions for change also include software libraries.
Access restrictions include physical and logical access control requirements, workflow automation, media libraries, abstract layers (e.g., changes implemented into external interfaces rather than directly into systems), and change windows (e.g., changes occur only during certain specified times). In addition to security concerns, commonly-accepted due diligence for configuration management includes access restrictions as an essential part in ensuring the ability to effectively manage the configuration.</t>
  </si>
  <si>
    <t>Systems can provide a wide variety of functions and services. Some of the functions and services routinely provided by default, may not be necessary to support essential organizational missions, functions, or operations. It is sometimes convenient to provide multiple services from single system components. However, doing so increases risk over limiting the services provided by any one component. Where feasible, organizations limit component functionality to a single function per component.
Organizations review functions and services provided by systems or components of systems, to determine which functions and services are candidates for elimination. Organizations disable unused or unnecessary physical and logical ports and protocols to prevent unauthorized connection of devices, transfer of information, and tunneling. Organizations can utilize network scanning tools, intrusion detection and prevention systems, and end-point protections such as firewalls and host-based intrusion detection systems to identify and prevent the use of prohibited functions, ports, protocols, and services.</t>
  </si>
  <si>
    <t>Restricting the use of nonessential software (programs) includes restricting the roles allowed to approve program execution; prohibiting auto-execute; program blacklisting and whitelisting; or restricting the number of program instances executed at the same time. The organization makes a security-based determination which functions, ports, protocols, and/or services are restricted. Bluetooth, File Transfer Protocol (FTP), and peer-to-peer networking are examples of protocols organizations consider preventing the use of, restricting, or disabling.</t>
  </si>
  <si>
    <t>The process used to identify software programs that are not authorized to execute on systems is commonly referred to as blacklisting. The process used to identify software programs that are authorized to execute on systems is commonly referred to as whitelisting. Whitelisting is the stronger of the two policies for restricting software program execution.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t>
  </si>
  <si>
    <t>Users can install software in organizational systems if provided the necessary privileges. To maintain control over the software installed, organizations identify permitted and prohibited actions regarding software installation through policies. Permitted software installations include updates and security patches to existing software and applications from organization-approved “app stores.” Prohibited software installations may include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automated methods, or both.</t>
  </si>
  <si>
    <t>Common device identifiers include Media Access Control (MAC), Internet Protocol (IP) addresses, or device-unique token identifiers. Management of individual identifiers is not applicable to shared system accounts. Typically, individual identifiers are the user names associated with the system accounts assigned to those individuals. Organizations may require unique identification of individuals in group accounts or for detailed accountability of individual activity. In addition, this requirement addresses individual identifiers that are not necessarily associated with system accounts. Organizational devices requiring identification may be defined by type, by device, or by a combination of type/device.</t>
  </si>
  <si>
    <t>Individual authenticators include the following: passwords, key cards, cryptographic devices, and one-time password devices. Initial authenticator content is the actual content of the authenticator, for example, the initial password. In contrast, the requirements about authenticator content include the minimum password length. Developers ship system components with factory default authentication credentials to allow for initial installation and configuration. Default authentication credentials are often well known, easily discoverable, and present a significant security risk.
Systems support authenticator management by organization-defined settings and restrictions for various authenticator characteristics including minimum password length, validation time window for time synchronous one-time tokens, and number of allowed rejections during the verification stage of biometric authentication. Authenticator management includes issuing and revoking, when no longer needed, authenticators for temporary access such as that required for remote maintenance. Device authenticators include certificates and passwords.</t>
  </si>
  <si>
    <t>Multifactor authentication requires the use of two or more different factors to authenticate. The factors are defined as something you know (e.g., password, personal identification number [PIN]); something you have (e.g., cryptographic identification device, token); or something you are (e.g., biometric). Multifactor authentication solutions that feature physical authenticators include hardware authenticators providing time-based or challenge-response authenticators and smart cards. In addition to authenticating users at the system level (i.e., at logon), organizations may also employ authentication mechanisms at the application level, when necessary, to provide increased information security.
Access to organizational systems is defined as local access or network access. Local access is any access to organizational systems by users (or processes acting on behalf of users) where such access is obtained by direct connections without the use of networks. Network access is access to systems by users (or processes acting on behalf of users) where such access is obtained through network connections (i.e., nonlocal accesses). Remote access is a type of network access that involves communication through external networks. The use of encrypted virtual private networks for connections between organization-controlled and non-organization controlled endpoints may be treated as internal networks with regard to protecting the confidentiality of information.</t>
  </si>
  <si>
    <t>Authentication processes resist replay attacks if it is impractical to successfully authenticate by recording or replaying previous authentication messages. Replay-resistant techniques include protocols that use nonces or challenges such as time synchronous or challenge-response one-time authenticators.</t>
  </si>
  <si>
    <t>Identifiers are provided for users, processes acting on behalf of users, or devices (3.5.1). Preventing reuse of identifiers implies preventing the assignment of previously used individual, group, role, or device identifiers to different individuals, groups, roles, or devices.</t>
  </si>
  <si>
    <t>Inactive identifiers pose a risk to organizational information because attackers may exploit an inactive identifier to gain undetected access to organizational devices. The owners of the inactive accounts may not notice if unauthorized access to the account has been obtained.</t>
  </si>
  <si>
    <t>This requirement applies to single-factor authentication of individuals using passwords as individual or group authenticators, and in a similar manner, when passwords are used as part of multifactor authenticators. The number of changed characters refers to the number of changes required with respect to the total number of positions in the current password. To mitigate certain brute force attacks against passwords, organizations may also consider salting passwords.</t>
  </si>
  <si>
    <t>Password lifetime restrictions do not apply to temporary passwords.</t>
  </si>
  <si>
    <t>Changing temporary passwords to permanent passwords immediately after system logon ensures that the necessary strength of the authentication mechanism is implemented at the earliest opportunity, reducing the susceptibility to authenticator compromises.</t>
  </si>
  <si>
    <t>Cryptographically-protected passwords use salted one-way cryptographic hashes of passwords.</t>
  </si>
  <si>
    <t>The feedback from systems does not provide any information that would allow unauthorized individuals to compromise authentication mechanisms. For some types of systems or system components, for example, desktop or notebook computers with relatively large monitors, the threat (often referred to as shoulder surfing) may be significant. For other types of systems or components, for example, mobile devices with small displays, this threat may be less significant, and is balanced against the increased likelihood of typographic input errors due to the small keyboards. Therefore, the means for obscuring the authenticator feedback is selected accordingly. Obscuring authenticator feedback includes displaying asterisks when users type passwords into input devices or displaying feedback for a very limited time before fully obscuring it.</t>
  </si>
  <si>
    <t>Organizations recognize that incident handling capability is dependent on the capabilities of organizational systems and the mission/business processes being supported by those systems. Organizations consider incident handling as part of the definition, design, and development of mission/business processes and systems. Incident-related information can be obtained from a variety of sources including audit monitoring, network monitoring, physical access monitoring, user and administrator reports, and reported supply chain events. Effective incident handling capability includes coordination among many organizational entities including mission/business owners, system owners, authorizing officials, human resources offices, physical and personnel security offices, legal departments, operations personnel, procurement offices, and the risk executive.
As part of user response activities, incident response training is provided by organizations and is linked directly to the assigned roles and responsibilities of organizational personnel to ensure that the appropriate content and level of detail is included in such training. For example, regular users may only need to know who to call or how to recognize an incident on the system; system administrators may require additional training on how to handle or remediate incidents; and incident responders may receive more specific training on forensics, reporting, system recovery, and restoration. Incident response training includes user training in the identification/reporting of suspicious activities from external and internal sources. User response activities also includes incident response assistance which may consist of help desk support, assistance groups, and access to forensics services or consumer redress services, when required.</t>
  </si>
  <si>
    <t>Tracking and documenting system security incidents includes maintaining records about each incident, the status of the incident, and other pertinent information necessary for forensics, evaluating incident details, trends, and handling. Incident information can be obtained from a variety of sources including incident reports, incident response teams, audit monitoring, network monitoring, physical access monitoring, and user/administrator reports.
Reporting incidents addresses specific incident reporting requirements within an organization and the formal incident reporting requirements for the organization. Suspected security incidents may also be reported and include the receipt of suspicious email communications that can potentially contain malicious code. The types of security incidents reported, the content and timeliness of the reports, and the designated reporting authorities reflect applicable laws, Executive Orders, directives, regulations, and policies.</t>
  </si>
  <si>
    <t>Organizations test incident response capabilities to determine the effectiveness of the capabilities and to identify potential weaknesses or deficiencies. Incident response testing includes the use of checklists, walk-through or tabletop exercises, simulations (both parallel and full interrupt), and comprehensive exercises. Incident response testing can also include a determination of the effects on organizational operations (e.g., reduction in mission capabilities), organizational assets, and individuals due to incident response.</t>
  </si>
  <si>
    <t>This requirement addresses the information security aspects of the system maintenance program and applies to all types of maintenance to any system component (including hardware, firmware, applications) conducted by any local or nonlocal entity. System maintenance also includes those components not directly associated with information processing and data or information retention such as scanners, copiers, and printers.</t>
  </si>
  <si>
    <t>This requirement addresses security-related issues with maintenance tools that are not within the organizational system boundaries that process, store, or transmit CUI, but are used specifically for diagnostic and repair actions on those systems. Organizations have flexibility in determining the controls in place for maintenance tools, but can include approving, controlling, and monitoring the use of such tools. Maintenance tools are potential vehicles for transporting malicious code, either intentionally or unintentionally, into a facility and into organizational systems. Maintenance tools can include hardware, software, and firmware items, for example, hardware and software diagnostic test equipment and hardware and software packet sniffers.</t>
  </si>
  <si>
    <t>This requirement addresses the information security aspects of system maintenance that are performed off-site and applies to all types of maintenance to any system component (including applications) conducted by a local or nonlocal entity (e.g., in-contract, warranty, in- house, software maintenance agreement).</t>
  </si>
  <si>
    <t>If, upon inspection of media containing maintenance diagnostic and test programs, organizations determine that the media contain malicious code, the incident is handled consistent with incident handling policies and procedures.</t>
  </si>
  <si>
    <t>Nonlocal maintenance and diagnostic activities are those activities conducted by individuals communicating through an external network. The authentication techniques employed in the establishment of these nonlocal maintenance and diagnostic sessions reflect the network access requirements in 3.5.3.</t>
  </si>
  <si>
    <t>This requirement applies to individuals who are performing hardware or software maintenance on organizational systems, while 3.10.1 addresses physical access for individuals whose maintenance duties place them within the physical protection perimeter of the systems (e.g., custodial staff, physical plant maintenance personnel). Individuals not previously identified as authorized maintenance personnel, such as information technology manufacturers, vendors, consultants, and systems integrators, may require privileged access to organizational systems, for example, when required to conduct maintenance activities with little or no notice. Organizations may choose to issue temporary credentials to these individuals based on organizational risk assessments. Temporary credentials may be for one-time use or for very limited time periods.</t>
  </si>
  <si>
    <t>System media includes digital and non-digital media. Digital media includes diskettes, magnetic tapes, external and removable hard disk drives, flash drives, compact disks, and digital video disks. Non-digital media includes paper and microfilm. Protecting digital media includes limiting access to design specifications stored on compact disks or flash drives in the media library to the project leader and any individuals on the development team. Physically controlling system media includes conducting inventories, maintaining accountability for stored media, and ensuring procedures are in place to allow individuals to check out and return media to the media library. Secure storage includes a locked drawer, desk, or cabinet, or a controlled media library.
Access to CUI on system media can be limited by physically controlling such media, which includes conducting inventories, ensuring procedures are in place to allow individuals to check out and return media to the media library, and maintaining accountability for all stored media.</t>
  </si>
  <si>
    <t>Access can be limited by physically controlling system media and secure storage areas. Physically controlling system media includes conducting inventories, ensuring procedures are in place to allow individuals to check out and return system media to the media library, and maintaining accountability for all stored media. Secure storage includes a locked drawer, desk, or cabinet, or a controlled media library.</t>
  </si>
  <si>
    <t>This requirement applies to all system media, digital and non-digital, subject to disposal or reuse. Examples include: digital media found in workstations, network components, scanners, copiers, printers, notebook computers, and mobile devices; and non-digital media such as paper and microfilm.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released for reuse or disposal.
Organizations determine the appropriate sanitization methods, recognizing that destruction may be necessary when other methods cannot be applied to the media requiring sanitization. Organizations use discretion on the employment of sanitization techniques and procedures for media containing information that is in the public domain or publicly releasable or deemed to have no adverse impact on organizations or individuals if released for reuse or disposal. Sanitization of non-digital media includes destruction, removing CUI from documents, or redacting selected sections or words from a document by obscuring the redacted sections or words in a manner equivalent in effectiveness to removing the words or sections from the document. NARA policy and guidance control sanitization processes for controlled unclassified information.</t>
  </si>
  <si>
    <t>The term security marking refers to the application or use of human-readable security attributes. System media includes digital and non-digital media. Marking of system media reflects applicable federal laws, Executive Orders, directives, policies, and regulations</t>
  </si>
  <si>
    <t>Controlled areas are areas or spaces for which organizations provide physical or procedural controls to meet the requirements established for protecting systems and information. Controls to maintain accountability for media during transport include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external to the organization. Maintaining accountability of media during transport includes restricting transport activities to authorized personnel and tracking and obtaining explicit records of transport activities as the media moves through the transportation system to prevent and detect loss, destruction, or tampering.</t>
  </si>
  <si>
    <t>This requirement applies to portable storage devices (e.g., USB memory sticks, digital video disks, compact disks, external or removable hard disk drives).</t>
  </si>
  <si>
    <t>In contrast to requirement 3.8.1, which restricts user access to media, this requirement restricts the use of certain types of media on systems, for example, restricting or prohibiting the use of flash drives or external hard disk drives. Organizations can employ technical and nontechnical controls (e.g., policies, procedures, and rules of behavior) to control the use of system media. Organizations may control the use of portable storage devices, for example, by using physical cages on workstations to prohibit access to certain external ports, or disabling or removing the ability to insert, read, or write to such devices.
Organizations may also limit the use of portable storage devices to only approved devices including devices provided by the organization, devices provided by other approved organizations, and devices that are not personally owned. Finally, organizations may control the use of portable storage devices based on the type of device, prohibiting the use of writeable, portable devices, and implementing this restriction by disabling or removing the capability to write to such devices.</t>
  </si>
  <si>
    <t>Requiring identifiable owners (e.g., individuals, organizations, or projects) for portable storage devices reduces the overall risk of using such technologies by allowing organizations to assign responsibility and accountability for addressing known vulnerabilities in the devices (e.g., insertion of malicious code).</t>
  </si>
  <si>
    <t>Organizations can employ cryptographic mechanisms or alternative physical controls to protect the confidentiality of backup information at designated storage locations. Backed-up information containing CUI may include system-level information and user-level information. System-level information includes system-state information, operating system software, application software, and licenses. User-level information includes information other than system-level information.</t>
  </si>
  <si>
    <t>Personnel security screening (vetting) activities involve the evaluation/assessment of individual’s conduct, integrity, judgment, loyalty, reliability, and stability (i.e., the trustworthiness of the individual) prior to authorizing access to organizational systems containing CUI. The screening activities reflect applicable federal laws, Executive Orders, directives, policies, regulations, and specific criteria established for the level of access required for assigned positions.</t>
  </si>
  <si>
    <t>Protecting CUI during and after personnel actions may include returning system-related property and conducting exit interviews. System-related property includes hardware authentication tokens, identification cards, system administration technical manuals, keys, and building passes. Exit interviews ensure that individuals who have been terminated understand the security constraints imposed by being former employees and that proper accountability is achieved for system-related property. Security topics of interest at exit interviews can include reminding terminated individuals of nondisclosure agreements and potential limitations on future employment. Exit interviews may not be possible for some terminated individuals, for example, in cases related to job abandonment, illnesses, and non-availability of supervisors. For termination actions, timely execution is essential for individuals terminated for cause. In certain situations, organizations consider disabling the system accounts of individuals that are being terminated prior to the individuals being notified.
This requirement applies to reassignments or transfers of individuals when the personnel action is permanent or of such extended durations as to require protection. Organizations define the CUI protections appropriate for the types of reassignments or transfers, whether permanent or extended. Protections that may be required for transfers or reassignments to other positions within organizations include returning old and issuing new keys, identification cards, and building passes; changing system access authorizations (i.e., privileges); closing system accounts and establishing new accounts; and providing for access to official records to which individuals had access at previous work locations and in previous system accounts.</t>
  </si>
  <si>
    <t>This requirement applies to employees, individuals with permanent physical access authorization credentials, and visitors. Authorized individuals have credentials that include badges, identification cards, and smart cards. Organizations determine the strength of authorization credentials needed consistent with applicable laws, directives, policies, regulations, standards, procedures, and guidelines. This requirement applies only to areas within facilities that have not been designated as publicly accessible.
Limiting physical access to equipment may include placing equipment in locked rooms or other secured areas and allowing access to authorized individuals only; and placing equipment in locations that can be monitored by organizational personnel. Computing devices, external disk drives, networking devices, monitors, printers, copiers, scanners, facsimile machines, and audio devices are examples of equipment.</t>
  </si>
  <si>
    <t>Monitoring of physical access includes publicly accessible areas within organizational facilities. This can be accomplished, for example, by the employment of guards; the use of sensor devices; or the use of video surveillance equipment such as cameras. Examples of support infrastructure include system distribution, transmission, and power lines. Security controls applied to the support infrastructure prevent accidental damage, disruption, and physical tampering. Such controls may also be necessary to prevent eavesdropping or modification of unencrypted transmissions. Physical access controls to support infrastructure include locked wiring closets; disconnected or locked spare jacks; protection of cabling by conduit or cable trays; and wiretapping sensors.</t>
  </si>
  <si>
    <t>Individuals with permanent physical access authorization credentials are not considered visitors. Audit logs can be used to monitor visitor activity.</t>
  </si>
  <si>
    <t>Organizations have flexibility in the types of audit logs employed. Audit logs can be procedural (e.g., a written log of individuals accessing the facility), automated (e.g., capturing ID provided by a PIV card), or some combination thereof. Physical access points can include facility access points, interior access points to systems or system components requiring supplemental access controls, or both. System components (e.g., workstations, notebook computers) may be in areas designated as publicly accessible with organizations safeguarding access to such devices.</t>
  </si>
  <si>
    <t>Physical access devices include keys, locks, combinations, and card readers.</t>
  </si>
  <si>
    <t>Alternate work sites may include government facilities or the private residences of employees. Organizations may define different security requirements for specific alternate work sites or types of sites depending on the work-related activities conducted at those sites.</t>
  </si>
  <si>
    <t>Clearly defined system boundaries are a prerequisite for effective risk assessments. Such risk assessments consider threats, vulnerabilities, likelihood, and impact to organizational operations, organizational assets, and individuals based on the operation and use of organizational systems. Risk assessments also consider risk from external parties (e.g., service providers, contractors operating systems on behalf of the organization, individuals accessing organizational systems, outsourcing entities). Risk assessments, either formal or informal, can be conducted at the organization level, the mission or business process level, or the system level, and at any phase in the system development life cycle.</t>
  </si>
  <si>
    <t>Organizations determine the required vulnerability scanning for all system components, ensuring that potential sources of vulnerabilities such as networked printers, scanners, and copiers are not overlooked. The vulnerabilities to be scanned are readily updated as new vulnerabilities are discovered, announced, and scanning methods developed. This process ensures that potential vulnerabilities in the system are identified and addressed as quickly as possible. Vulnerability analyses for custom software applications may require additional approaches such as static analysis, dynamic analysis, binary analysis, or a hybrid of the three approaches. Organizations can employ these analysis approaches in source code reviews and in a variety of tools (e.g., static analysis tools, web-based application scanners, binary analyzers) and in source code reviews. Vulnerability scanning includes: scanning for patch levels; scanning for functions, ports, protocols, and services that should not be accessible to users or devices; and scanning for improperly configured or incorrectly operating information flow control mechanisms.</t>
  </si>
  <si>
    <t>Vulnerabilities discovered, for example, via the scanning conducted in response to 3.11.2, are remediated with consideration of the related assessment of risk. The consideration of risk influences the prioritization of remediation efforts and the level of effort to be expended in the remediation for specific vulnerabilities.</t>
  </si>
  <si>
    <t>Organizations assess security controls in organizational systems and the environments in which those systems operate as part of the system development life cycle. Security controls are the safeguards or countermeasures organizations implement to satisfy security requirements. By assessing the implemented security controls, organizations determine if the security safeguards or countermeasures are in place and operating as intended. Security control assessments ensure that information security is built into organizational systems; identify weaknesses and deficiencies early in the development process; provide essential information needed to make risk-based decisions; and ensure compliance to vulnerability mitigation procedures. Assessments are conducted on the implemented security controls as documented in system security plans.</t>
  </si>
  <si>
    <t>Continuous monitoring programs facilitate ongoing awareness of threats, vulnerabilities, and information security to support organizational risk management decisions. The terms continuous and ongoing imply that organizations assess and analyze security controls and information security-related risks at a frequency sufficient to support risk-based decisions. The results of continuous monitoring programs generate appropriate risk response actions by organizations. Providing access to security information on a continuing basis through reports or dashboards gives organizational officials the capability to make effective and timely risk management decisions.
Automation supports more frequent updates to hardware, software, firmware inventories, and other system information. Effectiveness is further enhanced when continuous monitoring outputs are formatted to provide information that is specific, measurable, actionable, relevant, and timely. Monitoring requirements, including the need for specific monitoring, may also be referenced in other requirements.</t>
  </si>
  <si>
    <t>System security plans relate security requirements to a set of security controls. System security plans also describe, at a high level, how the security controls meet those security requirements, but do not provide detailed, technical descriptions of the design or implementation of the controls. System security plans contain sufficient information to enable a design and implementation that is unambiguously compliant with the intent of the plans and subsequent determinations of risk if the plan is implemented as intended.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Federal agencies may consider the submitted system security plans and plans of action as critical inputs to an overall risk management decision to process, store, or transmit CUI on a system hosted by a nonfederal organization and whether it is advisable to pursue an agreement or contract with the nonfederal organization.</t>
  </si>
  <si>
    <t>Communications can be monitored, controlled, and protected at boundary components and by restricting or prohibiting interfaces in organizational systems. Boundary components include gateways, routers, firewalls, guards, network-based malicious code analysis and virtualization systems, or encrypted tunnels implemented within a system security architecture (e.g., routers protecting firewalls or application gateways residing on protected subnetworks). Restricting or prohibiting interfaces in organizational systems includes restricting external web communications traffic to designated web servers within managed interfaces and prohibiting external traffic that appears to be spoofing internal addresses.
Organizations consider the shared nature of commercial telecommunications services in the implementation of security requirements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t>
  </si>
  <si>
    <t>Organizations apply systems security engineering principles to new development systems or systems undergoing major upgrades. For legacy systems, organizations apply systems security engineering principles to system upgrades and modifications to the extent feasible, given the current state of hardware, software, and firmware components within those systems. The application of systems security engineering concepts and principles helps to develop trustworthy, secure, and resilient systems and system components and reduce the susceptibility of organizations to disruptions, hazards, and threats. Examples of these concepts and principles include developing layered protections; establishing security policies, architecture, and controls as the foundation for design; incorporating security requirements into the system development life cycle; delineating physical and logical security boundaries; ensuring that developers are trained on how to build secure software; and performing threat modeling to identify use cases, threat agents, attack vectors and patterns, design patterns, and compensating controls needed to mitigate risk. Organizations that apply security engineering concepts and principles can facilitate the development of trustworthy, secure systems, system components, and system services; reduce risk to acceptable levels; and make informed risk-management decisions.</t>
  </si>
  <si>
    <t>System management functionality includes functions necessary to administer databases, network components, workstations, or servers, and typically requires privileged user access. The separation of user functionality from system management functionality is physical or logical. Organizations can implement separation of system management functionality from user functionality by using different computers, different central processing units, different instances of operating systems, or different network addresses; virtualization techniques; or combinations of these or other methods, as appropriate. This type of separation includes web administrative interfaces that use separate authentication methods for users of any other system resources. Separation of system and user functionality may include isolating administrative interfaces on different domains and with additional access controls.</t>
  </si>
  <si>
    <t>The control of information in shared system resources (e.g., registers, cache memory, main memory, hard disks) is also commonly referred to as object reuse and residual information protection. This requirement prevents information produced by the actions of prior users or roles (or the actions of processes acting on behalf of prior users or roles) from being available to any current users or roles (or current processes acting on behalf of current users or roles) that obtain access to shared system resources after those resources have been released back to the system. This requirement also applies to encrypted representations of information. This requirement does not address information remanence, which refers to residual representation of data that has been nominally deleted; covert channels (including storage or timing channels) where shared resources are manipulated to violate information flow restrictions; or components within systems for which there are only single users or roles.</t>
  </si>
  <si>
    <t>Subnetworks that are physically or logically separated from internal networks are referred to as demilitarized zones (DMZs). DMZs are typically implemented with boundary control devices and techniques that include routers, gateways, firewalls, virtualization, or cloud-based technologies.</t>
  </si>
  <si>
    <t>This requirement applies to inbound and outbound network communications traffic at the system boundary and at identified points within the system. A deny-all, permit-by-exception network communications traffic policy ensures that only those connections which are essential and approved are allowed.</t>
  </si>
  <si>
    <t>Split tunneling might be desirable by remote users to communicate with local system resources such as printers or file servers. However, split tunneling allows unauthorized external connections, making the system more vulnerable to attack and to exfiltration of organizational information. This requirement is implemented in remote devices (e.g., notebook computers, smart phones, and tablets) through configuration settings to disable split tunneling in those devices, and by preventing configuration settings from being readily configurable by users. This requirement is implemented in the system by the detection of split tunneling (or of configuration settings that allow split tunneling) in the remote device, and by prohibiting the connection if the remote device is using split tunneling.</t>
  </si>
  <si>
    <t>This requirement applies to internal and external networks. Terminating network connections associated with communications sessions include de-allocating associated TCP/IP address or port pairs at the operating system level, or de-allocating networking assignments at the application level if multiple application sessions are using a single, operating system-level network connection. Time periods of user inactivity may be established by organizations and include time periods by type of network access or for specific network accesses.</t>
  </si>
  <si>
    <t>Cryptographic key management and establishment can be performed using manual procedures or mechanisms supported by manual procedures. Organizations define key management requirements in accordance with applicable federal laws, Executive Orders, policies, directives, regulations, and standards specifying appropriate options, levels, and parameters.</t>
  </si>
  <si>
    <t>Cryptography can be employed to support many security solutions including the protection of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Cryptographic standards include FIPS-validated cryptography and/or NSA-approved cryptography.</t>
  </si>
  <si>
    <t>Collaborative computing devices include networked white boards, cameras, and microphones. Indication of use includes signals to users when collaborative computing devices are activated. Dedicated video conferencing systems, which rely on one of the participants calling or connecting to the other party to activate the video conference, are excluded.</t>
  </si>
  <si>
    <t>Mobile code technologies include Java, JavaScript, ActiveX, Postscript, PDF, Flash animations, and VBScript. Decisions regarding the use of mobile code in organizational systems are based on the potential for the code to cause damage to the systems if used maliciously. Usage restrictions and implementation guidance apply to the selection and use of mobile code installed on servers and mobile code downloaded and executed on individual workstations, notebook computers, and devices (e.g., smart phones). Mobile code policy and procedures address controlling or preventing the development, acquisition, or introduction of unacceptable mobile code in systems, including requiring mobile code to be digitally signed by a trusted source.</t>
  </si>
  <si>
    <t>VoIP has different requirements, features, functionality, availability, and service limitations when compared with the Plain Old Telephone Service (POTS) (i.e., the standard telephone service). In contrast, other telephone services are based on high-speed, digital communications lines, such as Integrated Services Digital Network (ISDN) and Fiber Distributed Data Interface (FDDI). The main distinctions between POTS and non-POTS services are speed and bandwidth. To address the threats associated with VoIP, usage restrictions and implementation guidelines are based on the potential for the VoIP technology to cause damage to the system if it is used maliciously. Threats to VoIP are similar to those inherent with any Internet-based application.</t>
  </si>
  <si>
    <t>Authenticity protection includes protecting against man-in-the-middle attacks, session hijacking, and the insertion of false information into communications sessions. This requirement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t>
  </si>
  <si>
    <t>Information at rest refers to the state of information when it is not in process or in transit and is located on storage devices as specific components of systems. The focus of protection at rest is not on the type of storage device or the frequency of access but rather the state of the information. Organizations can use different mechanisms to achieve confidentiality protections, including the use of cryptographic mechanisms and file share scanning. Organizations may also use other controls including secure off-line storage in lieu of online storage when adequate protection of information at rest cannot otherwise be achieved or continuous monitoring to identify malicious code at rest.</t>
  </si>
  <si>
    <t>Organizations identify systems that are affected by announced software and firmware flaws including potential vulnerabilities resulting from those flaws and report this information to designated personnel with information security responsibilities. Security-relevant updates include patches, service packs, hot fixes, and anti-virus signatures. Organizations address flaws discovered during security assessments, continuous monitoring, incident response activities, and system error handling. Organizations can take advantage of available resources such as the Common Weakness Enumeration (CWE) database or Common Vulnerabilities and Exposures (CVE) database in remediating flaws discovered in organizational systems.
Organization-defined time periods for updating security-relevant software and firmware may vary based on a variety of factors including the criticality of the update (i.e., severity of the vulnerability related to the discovered flaw). Some types of flaw remediation may require more testing than other types of remediation.</t>
  </si>
  <si>
    <t>Designated locations include system entry and exit points which may include firewalls, remote-access servers, workstations, electronic mail servers, web servers, proxy servers, notebook computers, and mobile devices. Malicious code includes viruses, worms, Trojan horses, and spyware. Malicious code can be encoded in various formats (e.g., UUENCODE, Unicode), contained within compressed or hidden files, or hidden in files using techniques such as steganography. Malicious code can be inserted into systems in a variety of ways including web accesses, electronic mail, electronic mail attachments, and portable storage devices. Malicious code insertions occur through the exploitation of system vulnerabilities.
Malicious code protection mechanisms include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logic bombs, back doors, and other types of cyber-attacks that could affect organizational missions/business functions. Traditional malicious code protection mechanisms cannot always detect such code. In these situations, organizations rely instead on other safeguards including secure coding practices, configuration management and control, trusted procurement processes, and monitoring practices to help ensure that software does not perform functions other than the functions intended.</t>
  </si>
  <si>
    <t>There are many publicly available sources of system security alerts and advisories. For example, the Department of Homeland Security’s Cybersecurity and Infrastructure Security Agency (CISA) generates security alerts and advisories to maintain situational awareness across the federal government and in nonfederal organizations. Software vendors, subscription services, and industry information sharing and analysis centers (ISACs) may also provide security alerts and advisories. Examples of response actions include notifying relevant external organizations, for example, external mission/business partners, supply chain partners, external service providers, and peer or supporting organizations</t>
  </si>
  <si>
    <t>Malicious code protection mechanisms include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logic bombs, back doors, and other types of cyber-attacks that could affect organizational missions/business functions. Traditional malicious code protection mechanisms cannot always detect such code. In these situations, organizations rely instead on other safeguards including secure coding practices, configuration management and control, trusted procurement processes, and monitoring practices to help ensure that software does not perform functions other than the functions intended.</t>
  </si>
  <si>
    <t>Periodic scans of organizational systems and real-time scans of files from external sources can detect malicious code. Malicious code can be encoded in various formats (e.g., UUENCODE, Unicode), contained within compressed or hidden files, or hidden in files using techniques such as steganography. Malicious code can be inserted into systems in a variety of ways including web accesses, electronic mail, electronic mail attachments, and portable storage devices. Malicious code insertions occur through the exploitation of system vulnerabilities.</t>
  </si>
  <si>
    <t>System monitoring includes external and internal monitoring. External monitoring includes the observation of events occurring at the system boundary (i.e., part of perimeter defense and boundary protection). Internal monitoring includes the observation of events occurring within the system. Organizations can monitor systems, for example, by observing audit record activities in real time or by observing other system aspects such as access patterns, characteristics of access, and other actions. The monitoring objectives may guide determination of the events.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selected perimeter locations and near server farms supporting critical applications, with such devices being employed at managed system interfaces. The granularity of monitoring information collected is based on organizational monitoring objectives and the capability of systems to support such objectives.
System monitoring is an integral part of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t>
  </si>
  <si>
    <t>System monitoring includes external and internal monitoring. System monitoring can detect unauthorized use of organizational systems. System monitoring is an integral part of continuous monitoring and incident response programs. Monitoring is achieved through a variety of tools and techniques (e.g., intrusion detection systems, intrusion prevention systems, malicious code protection software, scanning tools, audit record monitoring software, network monitoring software). Output from system monitoring serves as input to continuous monitoring and incident response programs.
Unusual/unauthorized activities or conditions related to inbound and outbound communications traffic include internal traffic that indicates the presence of malicious code in systems or propagating among system components, the unauthorized exporting of information, or signaling to external systems. Evidence of malicious code is used to identify potentially compromised systems or system components. System monitoring requirements, including the need for specific types of system monitoring, may be referenced in other requirements.</t>
  </si>
  <si>
    <t xml:space="preserve">Cryptographic standards include FIPS-validated cryptography and NSA-approved cryptography. </t>
  </si>
  <si>
    <t>Organizations authenticate individuals and devices to help protect wireless access to the system. Special attention is given to the wide variety of devices that are part of the Internet of Things with potential wireless access to organizational systems.</t>
  </si>
  <si>
    <t>A mobile device is a computing device that has a small form factor such that it can easily be carried by a single individual; is designed to operate without a physical connection (e.g., wirelessly transmit or receive information); possesses local, non-removable or removable data storage; and includes a self-contained power source. Mobile devices may also include voice communication capabilities, on-board sensors that allow the device to capture information, or built-in features for synchronizing local data with remote locations. Examples of mobile devices include smart phones, e-readers, and tablets.
Due to the large variety of mobile devices with different technical characteristics and capabilities, organizational restrictions may vary for the different types of devices. Usage restrictions and implementation guidance for mobile devices include: device identification and authentication; configuration management;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The need to provide adequate security for mobile devices goes beyond this requirement. Many controls for mobile devices are reflected in other CUI security requirements.</t>
  </si>
  <si>
    <t>Organizations can employ full-device encryption or container-based encryption to protect the confidentiality of CUI on mobile devices and computing platforms. Container-based encryption provides a more fine-grained approach to the encryption of data and information including encrypting selected data structures such as files, records, or fields.</t>
  </si>
  <si>
    <t>Organizations determine the content and frequency of security training based on the assigned duties, roles, and responsibilities of individuals and the security requirements of organizations and the systems to which personnel have authorized access. In addition, organizations provide system developers, enterprise architects, security architects, acquisition/procurement officials, software developers, system developers, systems integrators, system/network administrators, personnel conducting configuration management and auditing activities, personnel performing independent verification and validation, security assessors, and other personnel having access to system-level software, security-related technical training specifically tailored for their assigned duties.
Comprehensive role-based training addresses management, operational, and technical roles and responsibilities covering physical, personnel, and technical controls. Such training can include policies, procedures, tools, and artifacts for the security roles defined. Organizations also provide the training necessary for individuals to carry out their responsibilities related to operations and supply chain security within the context of organizational information security programs.</t>
  </si>
  <si>
    <t>Internal system clocks are used to generate time stamps, which include date and time. Time is expressed in Coordinated Universal Time (UTC), a modern continuation of Greenwich Mean Time (GMT), or local time with an offset from UTC. The granularity of time measurements refers to the degree of synchronization between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This requirement provides uniformity of time stamps for systems with multiple system clocks and systems connected over a network.</t>
  </si>
  <si>
    <t>The plan of action is a key document in the information security program. Organizations develop plans of action that describe how any unimplemented security requirements will be met and how any planned mitigations will be implemented. Organizations can document the system security plan and plan of action as separate or combined documents and in any chosen format.
Federal agencies may consider the submitted system security plans and plans of action as critical inputs to an overall risk management decision to process, store, or transmit CUI on a system hosted by a nonfederal organization and whether it is advisable to pursue an agreement or contract with the nonfederal organization.</t>
  </si>
  <si>
    <t xml:space="preserve">This requirement applies to internal and external networks and any system components that can transmit information including servers, notebook computers, desktop computers, mobile devices, printers, copiers, scanners, and facsimile machines. Communication paths outside the physical protection of controlled boundaries are susceptible to both interception and modification.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the controls for transmission confidentiality. In such situations, organizations determine what types of confidentiality services are available in commercial telecommunication service packages. If it is infeasible or impractical to obtain the necessary safeguards and assurances of the effectiveness of the safeguards through appropriate contracting vehicles, organizations implement compensating safeguards or explicitly accept the additional risk. An example of an alternative physical safeguard is a protected distribution system (PDS) where the distribution medium is protected against electronic or physical intercept, thereby ensuring the confidentiality of the information being transmitted. </t>
  </si>
  <si>
    <t>Establishing usage restrictions and configuration/connection requirements for wireless access to the system provides criteria for organizations to support wireless access authorization decisions. Such restrictions and requirements reduce the susceptibility to unauthorized access to the system through wireless technologies. Wireless networks use authentication protocols which provide credential protection and mutual authentication.</t>
  </si>
  <si>
    <t>Section Score</t>
  </si>
  <si>
    <t>POAM ID</t>
  </si>
  <si>
    <t>Creation Date</t>
  </si>
  <si>
    <t>Weakness Name</t>
  </si>
  <si>
    <t>Weakness Description</t>
  </si>
  <si>
    <t>Point of Contact</t>
  </si>
  <si>
    <t>Scheduled Completion Date</t>
  </si>
  <si>
    <t>Milestones</t>
  </si>
  <si>
    <t>Changes to Milestones</t>
  </si>
  <si>
    <t>Source of Weakness</t>
  </si>
  <si>
    <t>Actual Completion Date</t>
  </si>
  <si>
    <t>Comments</t>
  </si>
  <si>
    <r>
      <t xml:space="preserve">Question </t>
    </r>
    <r>
      <rPr>
        <b/>
        <sz val="12"/>
        <color rgb="FFFF0000"/>
        <rFont val="Calibri"/>
        <family val="2"/>
        <scheme val="minor"/>
      </rPr>
      <t>Not</t>
    </r>
    <r>
      <rPr>
        <b/>
        <sz val="12"/>
        <color theme="1"/>
        <rFont val="Calibri"/>
        <family val="2"/>
        <scheme val="minor"/>
      </rPr>
      <t xml:space="preserve"> Answered</t>
    </r>
  </si>
  <si>
    <t>1. The tasks needed to correct the deficiency</t>
  </si>
  <si>
    <t>2. The resources required to make the plan work</t>
  </si>
  <si>
    <t>3. Milestones in completing the tasks</t>
  </si>
  <si>
    <t>4. Scheduled completion dates for the milestones</t>
  </si>
  <si>
    <t>No. of questions to answer</t>
  </si>
  <si>
    <t>Plan of Action and Milestones (POAM) (refer 'Master POAMs List' for detailed information)</t>
  </si>
  <si>
    <t>*SPRS Score</t>
  </si>
  <si>
    <t>Company Name:</t>
  </si>
  <si>
    <t>Completion Date:</t>
  </si>
  <si>
    <t xml:space="preserve">Completed By: </t>
  </si>
  <si>
    <t>All rights reserved</t>
  </si>
  <si>
    <t>Version No. :</t>
  </si>
  <si>
    <r>
      <t xml:space="preserve">Prepared by                                                     </t>
    </r>
    <r>
      <rPr>
        <b/>
        <sz val="18"/>
        <color rgb="FF002060"/>
        <rFont val="Calibri"/>
        <family val="2"/>
        <scheme val="minor"/>
      </rPr>
      <t>Cross Timbers                                  Procurement Technical Assistance Center</t>
    </r>
  </si>
  <si>
    <t>Encrypt CUI on mobile devices and mobile computing platforms.</t>
  </si>
  <si>
    <t>This is the final score to post into SPRS</t>
  </si>
  <si>
    <t>How to use the Gap Analysis:</t>
  </si>
  <si>
    <t>1. Go through each spreadsheet and address the standards.</t>
  </si>
  <si>
    <t>3. To answer standards, click column C cells and then the drop down arrow.  Choose the answer and the sheet will automatically calculate the score.</t>
  </si>
  <si>
    <t>4. After finishing the spreadsheets, check 'Completion of the Questionnaire' tab to see if you answered all the standards.</t>
  </si>
  <si>
    <t>A POAM is a plan that describes specific measures to be taken to correct deficiencies found during a self-assessment.</t>
  </si>
  <si>
    <t>The POAM Sheet is a template that you may change based on your needs.</t>
  </si>
  <si>
    <t>Please Refer to 'NIST SP 800-171 DoD Assessment Methodology, Version 1.2.1' Page 12 for Scoring Information.</t>
  </si>
  <si>
    <t>The Score of each individual Control Family which is then added to the 110 base score.</t>
  </si>
  <si>
    <t xml:space="preserve">* The new interim DFARS provision 252.204-7019 advises DoD contractors to take the NIST SP 800-171 self-assessment, score it using the NIST SP 800-171 DoD Assessment Methodology, Version 1.2.1, and post that score (the SPRS score) into the Supplier Risk Management System (SPRS). Beginning December 1, 2020, DoD contracts will have a SPRS number (or a CMMC level). A contractor, or subcontractor’s, posted SPRS score must either meet, or exceed, the SPRS number on the contract in order for the company to bid. </t>
  </si>
  <si>
    <t>Severity Level                                        (Low, Moderate, High)</t>
  </si>
  <si>
    <t>2.If you do not understand the standard, please click the standard ID number to navigate to the reference page. Click the ID number again, to return to the assessment.</t>
  </si>
  <si>
    <t>5. If you answered all the standards, go to the summary page to check the score for each control family as well as the SPRS score.</t>
  </si>
  <si>
    <t>What should a POAM identify?</t>
  </si>
  <si>
    <t>What is a POAM?</t>
  </si>
  <si>
    <t>This software will score your self-assessment answers- based on the NIST SP 800-171 DoD Assessment Methodology, Version 1.2.1- and display the SPRS score on the Summary page. The highest score that you may receive is 110, your base score. The standards not implemented, and some standards that are not applicable, will be subtracted from this score. It is possible to have a negative SPRS score.</t>
  </si>
  <si>
    <r>
      <t xml:space="preserve">The scoring methodology used is as follows:
</t>
    </r>
    <r>
      <rPr>
        <b/>
        <sz val="12"/>
        <color theme="1"/>
        <rFont val="Calibri"/>
        <family val="2"/>
        <scheme val="minor"/>
      </rPr>
      <t>1.</t>
    </r>
    <r>
      <rPr>
        <sz val="12"/>
        <color theme="1"/>
        <rFont val="Calibri"/>
        <family val="2"/>
        <scheme val="minor"/>
      </rPr>
      <t xml:space="preserve">	If the standard is “Implemented” the score given is 0
</t>
    </r>
    <r>
      <rPr>
        <b/>
        <sz val="12"/>
        <color theme="1"/>
        <rFont val="Calibri"/>
        <family val="2"/>
        <scheme val="minor"/>
      </rPr>
      <t>2.</t>
    </r>
    <r>
      <rPr>
        <sz val="12"/>
        <color theme="1"/>
        <rFont val="Calibri"/>
        <family val="2"/>
        <scheme val="minor"/>
      </rPr>
      <t xml:space="preserve">	If the standard is “Planned to be implemented” the subtracted value of the score will be based on the methodology chart beginning on page 12, (ex. 3.1.1 has a value of 5, thus the score is -5 if “Planned to be Implemented”)
</t>
    </r>
    <r>
      <rPr>
        <b/>
        <sz val="12"/>
        <color theme="1"/>
        <rFont val="Calibri"/>
        <family val="2"/>
        <scheme val="minor"/>
      </rPr>
      <t>3.</t>
    </r>
    <r>
      <rPr>
        <sz val="12"/>
        <color theme="1"/>
        <rFont val="Calibri"/>
        <family val="2"/>
        <scheme val="minor"/>
      </rPr>
      <t xml:space="preserve">	If the standard is “Not Applicable” the subtracted value of the score will be based on the methodology chart, unless otherwise stated (ex. 3.1.12. If you do not permit remote access, the score is 0. If you do permit remote access, the score is -5)                                                                               </t>
    </r>
    <r>
      <rPr>
        <b/>
        <sz val="12"/>
        <color theme="1"/>
        <rFont val="Calibri"/>
        <family val="2"/>
        <scheme val="minor"/>
      </rPr>
      <t xml:space="preserve">4. </t>
    </r>
    <r>
      <rPr>
        <sz val="12"/>
        <color theme="1"/>
        <rFont val="Calibri"/>
        <family val="2"/>
        <scheme val="minor"/>
      </rPr>
      <t>Please Refer to 'NIST SP 800-171 DoD Assessment Methodology, Version 1.2.1' Page 12 for Scoring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</si>
</sst>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8"/>
      <name val="Calibri"/>
      <family val="2"/>
      <scheme val="minor"/>
    </font>
    <font>
      <b/>
      <sz val="14"/>
      <color theme="1"/>
      <name val="Calibri"/>
      <family val="2"/>
      <scheme val="minor"/>
    </font>
    <font>
      <b/>
      <sz val="14"/>
      <color indexed="8"/>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sz val="12"/>
      <color rgb="FFFF0000"/>
      <name val="Calibri"/>
      <family val="2"/>
      <scheme val="minor"/>
    </font>
    <font>
      <b/>
      <sz val="12"/>
      <color rgb="FFFF0000"/>
      <name val="Calibri"/>
      <family val="2"/>
      <scheme val="minor"/>
    </font>
    <font>
      <b/>
      <sz val="12"/>
      <name val="Calibri"/>
      <family val="2"/>
      <scheme val="minor"/>
    </font>
    <font>
      <sz val="12"/>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b/>
      <sz val="18"/>
      <color rgb="FF00206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77">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center"/>
    </xf>
    <xf numFmtId="2" fontId="5" fillId="0" borderId="0" xfId="0" applyNumberFormat="1" applyFont="1" applyFill="1" applyBorder="1" applyAlignment="1">
      <alignment horizontal="center" vertical="center"/>
    </xf>
    <xf numFmtId="0" fontId="5" fillId="0" borderId="0" xfId="1" applyNumberFormat="1" applyFont="1" applyFill="1" applyBorder="1" applyAlignment="1">
      <alignment horizontal="center"/>
    </xf>
    <xf numFmtId="0" fontId="6" fillId="0" borderId="0" xfId="0" applyFont="1" applyFill="1" applyBorder="1" applyAlignment="1">
      <alignment horizontal="center"/>
    </xf>
    <xf numFmtId="0" fontId="6" fillId="0" borderId="0" xfId="1" applyNumberFormat="1" applyFont="1" applyFill="1" applyBorder="1" applyAlignment="1">
      <alignment horizontal="center"/>
    </xf>
    <xf numFmtId="0" fontId="7" fillId="0" borderId="0" xfId="2" applyFill="1" applyAlignment="1">
      <alignment horizontal="center" vertical="center"/>
    </xf>
    <xf numFmtId="0" fontId="0" fillId="0" borderId="0" xfId="0" applyAlignment="1">
      <alignment horizontal="left" wrapTex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1" applyNumberFormat="1" applyFont="1" applyFill="1" applyBorder="1" applyAlignment="1">
      <alignment horizontal="center"/>
    </xf>
    <xf numFmtId="0" fontId="6" fillId="0" borderId="0" xfId="0" applyFont="1" applyAlignment="1">
      <alignment vertical="center" wrapText="1"/>
    </xf>
    <xf numFmtId="0" fontId="0" fillId="0" borderId="0" xfId="0" applyFill="1" applyAlignment="1">
      <alignment horizontal="center"/>
    </xf>
    <xf numFmtId="0" fontId="0" fillId="0" borderId="0" xfId="0" applyFill="1" applyAlignment="1">
      <alignment wrapText="1"/>
    </xf>
    <xf numFmtId="0" fontId="0" fillId="0" borderId="0" xfId="0" applyFill="1"/>
    <xf numFmtId="0" fontId="3" fillId="0" borderId="0" xfId="0" applyFont="1" applyFill="1" applyAlignment="1">
      <alignment horizontal="center" vertical="center"/>
    </xf>
    <xf numFmtId="0" fontId="3" fillId="0" borderId="0" xfId="0" applyFont="1" applyFill="1" applyAlignment="1">
      <alignment horizontal="center" wrapText="1"/>
    </xf>
    <xf numFmtId="0" fontId="4" fillId="0" borderId="0" xfId="0" applyFont="1" applyFill="1" applyAlignment="1">
      <alignment horizontal="center"/>
    </xf>
    <xf numFmtId="0" fontId="3" fillId="0" borderId="0" xfId="0" applyFont="1" applyFill="1" applyAlignment="1">
      <alignment horizontal="center"/>
    </xf>
    <xf numFmtId="2" fontId="0" fillId="0" borderId="0" xfId="1" applyNumberFormat="1" applyFont="1" applyFill="1" applyAlignment="1">
      <alignment horizontal="center"/>
    </xf>
    <xf numFmtId="0" fontId="0" fillId="0" borderId="0" xfId="0" applyFill="1" applyAlignment="1">
      <alignment vertical="center"/>
    </xf>
    <xf numFmtId="0" fontId="3" fillId="0" borderId="0" xfId="0" quotePrefix="1"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wrapText="1"/>
    </xf>
    <xf numFmtId="0" fontId="7" fillId="0" borderId="2" xfId="2" applyBorder="1" applyAlignment="1">
      <alignment horizontal="center" vertical="center"/>
    </xf>
    <xf numFmtId="0" fontId="0" fillId="0" borderId="2" xfId="0" applyBorder="1" applyAlignment="1">
      <alignment wrapText="1"/>
    </xf>
    <xf numFmtId="0" fontId="6" fillId="0" borderId="0" xfId="0" applyFont="1" applyAlignment="1">
      <alignment horizontal="center" vertical="center" wrapText="1"/>
    </xf>
    <xf numFmtId="0" fontId="0" fillId="0" borderId="0" xfId="0" applyAlignment="1">
      <alignment horizontal="left"/>
    </xf>
    <xf numFmtId="0" fontId="12" fillId="0" borderId="2" xfId="0" applyFont="1" applyFill="1" applyBorder="1" applyAlignment="1">
      <alignment horizontal="center"/>
    </xf>
    <xf numFmtId="0" fontId="13" fillId="0" borderId="2" xfId="0" applyFont="1" applyFill="1" applyBorder="1" applyAlignment="1">
      <alignment horizontal="center" vertical="center"/>
    </xf>
    <xf numFmtId="0" fontId="13" fillId="0" borderId="2" xfId="0" applyFont="1" applyFill="1" applyBorder="1" applyAlignment="1">
      <alignment horizontal="center"/>
    </xf>
    <xf numFmtId="2" fontId="13" fillId="0" borderId="2" xfId="0" applyNumberFormat="1" applyFont="1" applyFill="1" applyBorder="1" applyAlignment="1">
      <alignment horizontal="center" vertical="center"/>
    </xf>
    <xf numFmtId="0" fontId="10" fillId="0" borderId="0" xfId="0" applyFont="1" applyFill="1" applyBorder="1" applyAlignment="1">
      <alignment wrapText="1"/>
    </xf>
    <xf numFmtId="0" fontId="5" fillId="0" borderId="0" xfId="0" applyFont="1" applyFill="1" applyBorder="1" applyAlignment="1">
      <alignment wrapText="1"/>
    </xf>
    <xf numFmtId="0" fontId="0" fillId="2" borderId="0" xfId="0" applyFill="1"/>
    <xf numFmtId="0" fontId="0" fillId="0" borderId="2" xfId="0" applyBorder="1" applyAlignment="1">
      <alignment horizontal="center"/>
    </xf>
    <xf numFmtId="0" fontId="0" fillId="2" borderId="0" xfId="0" applyFill="1" applyBorder="1"/>
    <xf numFmtId="0" fontId="16" fillId="2" borderId="0" xfId="0" applyFont="1" applyFill="1" applyBorder="1" applyAlignment="1">
      <alignment wrapText="1"/>
    </xf>
    <xf numFmtId="0" fontId="16" fillId="2" borderId="0" xfId="0" applyFont="1" applyFill="1" applyBorder="1" applyAlignment="1">
      <alignment horizontal="center" wrapText="1"/>
    </xf>
    <xf numFmtId="0" fontId="3" fillId="2" borderId="0" xfId="0" applyFont="1" applyFill="1" applyBorder="1" applyAlignment="1">
      <alignment horizontal="center"/>
    </xf>
    <xf numFmtId="0" fontId="14" fillId="2" borderId="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5" fillId="2" borderId="2" xfId="0" applyFont="1" applyFill="1" applyBorder="1" applyAlignment="1">
      <alignment horizontal="right"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5" fillId="0" borderId="2" xfId="0" applyFont="1" applyBorder="1" applyAlignment="1">
      <alignment horizontal="left" wrapText="1"/>
    </xf>
    <xf numFmtId="0" fontId="0" fillId="0" borderId="0" xfId="0" applyAlignment="1">
      <alignment horizontal="center" wrapText="1"/>
    </xf>
    <xf numFmtId="0" fontId="9" fillId="0" borderId="0" xfId="0" applyFont="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6" fillId="0" borderId="2" xfId="0" applyFont="1" applyBorder="1" applyAlignment="1">
      <alignment horizontal="left" wrapText="1"/>
    </xf>
    <xf numFmtId="0" fontId="8" fillId="0" borderId="2" xfId="0" applyFont="1" applyBorder="1" applyAlignment="1">
      <alignment horizontal="left" wrapText="1"/>
    </xf>
    <xf numFmtId="0" fontId="5" fillId="0" borderId="0" xfId="0" applyFont="1" applyFill="1" applyBorder="1" applyAlignment="1">
      <alignment horizontal="left" wrapText="1"/>
    </xf>
    <xf numFmtId="0" fontId="10" fillId="0" borderId="0" xfId="0" applyFont="1" applyFill="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25</xdr:col>
      <xdr:colOff>417583</xdr:colOff>
      <xdr:row>39</xdr:row>
      <xdr:rowOff>159518</xdr:rowOff>
    </xdr:to>
    <xdr:pic>
      <xdr:nvPicPr>
        <xdr:cNvPr id="4" name="Picture 3">
          <a:extLst>
            <a:ext uri="{FF2B5EF4-FFF2-40B4-BE49-F238E27FC236}">
              <a16:creationId xmlns:a16="http://schemas.microsoft.com/office/drawing/2014/main" id="{28B34888-CDBA-4E92-BDBF-509F22BDB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0" y="3867150"/>
          <a:ext cx="3465583" cy="3105918"/>
        </a:xfrm>
        <a:prstGeom prst="rect">
          <a:avLst/>
        </a:prstGeom>
      </xdr:spPr>
    </xdr:pic>
    <xdr:clientData/>
  </xdr:twoCellAnchor>
  <xdr:twoCellAnchor editAs="oneCell">
    <xdr:from>
      <xdr:col>1</xdr:col>
      <xdr:colOff>184984</xdr:colOff>
      <xdr:row>20</xdr:row>
      <xdr:rowOff>25400</xdr:rowOff>
    </xdr:from>
    <xdr:to>
      <xdr:col>4</xdr:col>
      <xdr:colOff>368299</xdr:colOff>
      <xdr:row>29</xdr:row>
      <xdr:rowOff>114300</xdr:rowOff>
    </xdr:to>
    <xdr:pic>
      <xdr:nvPicPr>
        <xdr:cNvPr id="6" name="Picture 5">
          <a:extLst>
            <a:ext uri="{FF2B5EF4-FFF2-40B4-BE49-F238E27FC236}">
              <a16:creationId xmlns:a16="http://schemas.microsoft.com/office/drawing/2014/main" id="{44219973-783C-4213-8485-085F2BE1F5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584" y="3708400"/>
          <a:ext cx="2012115" cy="174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5773</xdr:colOff>
      <xdr:row>1</xdr:row>
      <xdr:rowOff>0</xdr:rowOff>
    </xdr:from>
    <xdr:to>
      <xdr:col>3</xdr:col>
      <xdr:colOff>155864</xdr:colOff>
      <xdr:row>15</xdr:row>
      <xdr:rowOff>0</xdr:rowOff>
    </xdr:to>
    <xdr:sp macro="" textlink="">
      <xdr:nvSpPr>
        <xdr:cNvPr id="2" name="Right Brace 1">
          <a:extLst>
            <a:ext uri="{FF2B5EF4-FFF2-40B4-BE49-F238E27FC236}">
              <a16:creationId xmlns:a16="http://schemas.microsoft.com/office/drawing/2014/main" id="{6FF84805-AD10-4D23-86E4-1C41EDA9C0FC}"/>
            </a:ext>
          </a:extLst>
        </xdr:cNvPr>
        <xdr:cNvSpPr/>
      </xdr:nvSpPr>
      <xdr:spPr>
        <a:xfrm>
          <a:off x="4231409" y="196273"/>
          <a:ext cx="150091" cy="2753591"/>
        </a:xfrm>
        <a:prstGeom prst="rightBrace">
          <a:avLst>
            <a:gd name="adj1" fmla="val 177564"/>
            <a:gd name="adj2" fmla="val 50000"/>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34637</xdr:colOff>
      <xdr:row>15</xdr:row>
      <xdr:rowOff>28863</xdr:rowOff>
    </xdr:from>
    <xdr:to>
      <xdr:col>3</xdr:col>
      <xdr:colOff>305955</xdr:colOff>
      <xdr:row>15</xdr:row>
      <xdr:rowOff>173181</xdr:rowOff>
    </xdr:to>
    <xdr:sp macro="" textlink="">
      <xdr:nvSpPr>
        <xdr:cNvPr id="5" name="Arrow: Right 4">
          <a:extLst>
            <a:ext uri="{FF2B5EF4-FFF2-40B4-BE49-F238E27FC236}">
              <a16:creationId xmlns:a16="http://schemas.microsoft.com/office/drawing/2014/main" id="{117F8731-2061-4506-A6BA-D4EE569C742B}"/>
            </a:ext>
          </a:extLst>
        </xdr:cNvPr>
        <xdr:cNvSpPr/>
      </xdr:nvSpPr>
      <xdr:spPr>
        <a:xfrm>
          <a:off x="4260273" y="2978727"/>
          <a:ext cx="271318" cy="1443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zoomScaleNormal="100" workbookViewId="0">
      <selection activeCell="G6" sqref="G6:L8"/>
    </sheetView>
  </sheetViews>
  <sheetFormatPr defaultColWidth="8.7109375" defaultRowHeight="15" x14ac:dyDescent="0.25"/>
  <cols>
    <col min="1" max="16384" width="8.7109375" style="19"/>
  </cols>
  <sheetData>
    <row r="1" spans="1:14" x14ac:dyDescent="0.25">
      <c r="A1" s="43"/>
      <c r="B1" s="43"/>
      <c r="C1" s="43"/>
      <c r="D1" s="43"/>
      <c r="E1" s="43"/>
      <c r="F1" s="43"/>
      <c r="G1" s="43"/>
      <c r="H1" s="43"/>
      <c r="I1" s="43"/>
      <c r="J1" s="43"/>
      <c r="K1" s="43"/>
      <c r="L1" s="43"/>
      <c r="M1" s="43"/>
      <c r="N1" s="43"/>
    </row>
    <row r="2" spans="1:14" x14ac:dyDescent="0.25">
      <c r="A2" s="43"/>
      <c r="B2" s="43"/>
      <c r="C2" s="43"/>
      <c r="D2" s="43"/>
      <c r="E2" s="43"/>
      <c r="F2" s="43"/>
      <c r="G2" s="43"/>
      <c r="H2" s="43"/>
      <c r="I2" s="43"/>
      <c r="J2" s="43"/>
      <c r="K2" s="43"/>
      <c r="L2" s="43"/>
      <c r="M2" s="43"/>
      <c r="N2" s="43"/>
    </row>
    <row r="3" spans="1:14" x14ac:dyDescent="0.25">
      <c r="A3" s="43"/>
      <c r="B3" s="43"/>
      <c r="C3" s="43"/>
      <c r="D3" s="43"/>
      <c r="E3" s="43"/>
      <c r="F3" s="43"/>
      <c r="G3" s="43"/>
      <c r="H3" s="43"/>
      <c r="I3" s="43"/>
      <c r="J3" s="43"/>
      <c r="K3" s="43"/>
      <c r="L3" s="43"/>
      <c r="M3" s="43"/>
      <c r="N3" s="43"/>
    </row>
    <row r="4" spans="1:14" x14ac:dyDescent="0.25">
      <c r="A4" s="43"/>
      <c r="B4" s="43"/>
      <c r="C4" s="43"/>
      <c r="D4" s="43"/>
      <c r="E4" s="43"/>
      <c r="F4" s="43"/>
      <c r="G4" s="43"/>
      <c r="H4" s="43"/>
      <c r="I4" s="43"/>
      <c r="J4" s="43"/>
      <c r="K4" s="43"/>
      <c r="L4" s="43"/>
      <c r="M4" s="43"/>
      <c r="N4" s="43"/>
    </row>
    <row r="5" spans="1:14" x14ac:dyDescent="0.25">
      <c r="A5" s="43"/>
      <c r="B5" s="43"/>
      <c r="C5" s="43"/>
      <c r="D5" s="43"/>
      <c r="E5" s="43"/>
      <c r="F5" s="43"/>
      <c r="G5" s="43"/>
      <c r="H5" s="43"/>
      <c r="I5" s="43"/>
      <c r="J5" s="43"/>
      <c r="K5" s="43"/>
      <c r="L5" s="43"/>
      <c r="M5" s="43"/>
      <c r="N5" s="43"/>
    </row>
    <row r="6" spans="1:14" ht="14.45" customHeight="1" x14ac:dyDescent="0.25">
      <c r="A6" s="43"/>
      <c r="B6" s="43"/>
      <c r="C6" s="58" t="s">
        <v>386</v>
      </c>
      <c r="D6" s="58"/>
      <c r="E6" s="58"/>
      <c r="F6" s="58"/>
      <c r="G6" s="59"/>
      <c r="H6" s="60"/>
      <c r="I6" s="60"/>
      <c r="J6" s="60"/>
      <c r="K6" s="60"/>
      <c r="L6" s="61"/>
      <c r="M6" s="43"/>
      <c r="N6" s="43"/>
    </row>
    <row r="7" spans="1:14" ht="14.45" customHeight="1" x14ac:dyDescent="0.25">
      <c r="A7" s="43"/>
      <c r="B7" s="43"/>
      <c r="C7" s="58"/>
      <c r="D7" s="58"/>
      <c r="E7" s="58"/>
      <c r="F7" s="58"/>
      <c r="G7" s="62"/>
      <c r="H7" s="63"/>
      <c r="I7" s="63"/>
      <c r="J7" s="63"/>
      <c r="K7" s="63"/>
      <c r="L7" s="64"/>
      <c r="M7" s="43"/>
      <c r="N7" s="43"/>
    </row>
    <row r="8" spans="1:14" ht="14.45" customHeight="1" x14ac:dyDescent="0.25">
      <c r="A8" s="43"/>
      <c r="B8" s="43"/>
      <c r="C8" s="58"/>
      <c r="D8" s="58"/>
      <c r="E8" s="58"/>
      <c r="F8" s="58"/>
      <c r="G8" s="65"/>
      <c r="H8" s="66"/>
      <c r="I8" s="66"/>
      <c r="J8" s="66"/>
      <c r="K8" s="66"/>
      <c r="L8" s="67"/>
      <c r="M8" s="43"/>
      <c r="N8" s="43"/>
    </row>
    <row r="9" spans="1:14" ht="14.45" customHeight="1" x14ac:dyDescent="0.25">
      <c r="A9" s="43"/>
      <c r="B9" s="43"/>
      <c r="C9" s="58" t="s">
        <v>387</v>
      </c>
      <c r="D9" s="58"/>
      <c r="E9" s="58"/>
      <c r="F9" s="58"/>
      <c r="G9" s="49"/>
      <c r="H9" s="50"/>
      <c r="I9" s="50"/>
      <c r="J9" s="50"/>
      <c r="K9" s="50"/>
      <c r="L9" s="51"/>
      <c r="M9" s="43"/>
      <c r="N9" s="43"/>
    </row>
    <row r="10" spans="1:14" ht="14.45" customHeight="1" x14ac:dyDescent="0.25">
      <c r="A10" s="43"/>
      <c r="B10" s="43"/>
      <c r="C10" s="58"/>
      <c r="D10" s="58"/>
      <c r="E10" s="58"/>
      <c r="F10" s="58"/>
      <c r="G10" s="52"/>
      <c r="H10" s="53"/>
      <c r="I10" s="53"/>
      <c r="J10" s="53"/>
      <c r="K10" s="53"/>
      <c r="L10" s="54"/>
      <c r="M10" s="43"/>
      <c r="N10" s="43"/>
    </row>
    <row r="11" spans="1:14" ht="14.45" customHeight="1" x14ac:dyDescent="0.25">
      <c r="A11" s="43"/>
      <c r="B11" s="43"/>
      <c r="C11" s="58"/>
      <c r="D11" s="58"/>
      <c r="E11" s="58"/>
      <c r="F11" s="58"/>
      <c r="G11" s="55"/>
      <c r="H11" s="56"/>
      <c r="I11" s="56"/>
      <c r="J11" s="56"/>
      <c r="K11" s="56"/>
      <c r="L11" s="57"/>
      <c r="M11" s="43"/>
      <c r="N11" s="43"/>
    </row>
    <row r="12" spans="1:14" ht="14.45" customHeight="1" x14ac:dyDescent="0.25">
      <c r="A12" s="43"/>
      <c r="B12" s="43"/>
      <c r="C12" s="58" t="s">
        <v>388</v>
      </c>
      <c r="D12" s="58"/>
      <c r="E12" s="58"/>
      <c r="F12" s="58"/>
      <c r="G12" s="49"/>
      <c r="H12" s="50"/>
      <c r="I12" s="50"/>
      <c r="J12" s="50"/>
      <c r="K12" s="50"/>
      <c r="L12" s="51"/>
      <c r="M12" s="43"/>
      <c r="N12" s="43"/>
    </row>
    <row r="13" spans="1:14" ht="14.45" customHeight="1" x14ac:dyDescent="0.25">
      <c r="A13" s="43"/>
      <c r="B13" s="43"/>
      <c r="C13" s="58"/>
      <c r="D13" s="58"/>
      <c r="E13" s="58"/>
      <c r="F13" s="58"/>
      <c r="G13" s="52"/>
      <c r="H13" s="53"/>
      <c r="I13" s="53"/>
      <c r="J13" s="53"/>
      <c r="K13" s="53"/>
      <c r="L13" s="54"/>
      <c r="M13" s="43"/>
      <c r="N13" s="43"/>
    </row>
    <row r="14" spans="1:14" ht="14.45" customHeight="1" x14ac:dyDescent="0.25">
      <c r="A14" s="43"/>
      <c r="B14" s="43"/>
      <c r="C14" s="58"/>
      <c r="D14" s="58"/>
      <c r="E14" s="58"/>
      <c r="F14" s="58"/>
      <c r="G14" s="55"/>
      <c r="H14" s="56"/>
      <c r="I14" s="56"/>
      <c r="J14" s="56"/>
      <c r="K14" s="56"/>
      <c r="L14" s="57"/>
      <c r="M14" s="43"/>
      <c r="N14" s="43"/>
    </row>
    <row r="15" spans="1:14" ht="14.45" customHeight="1" x14ac:dyDescent="0.25">
      <c r="A15" s="43"/>
      <c r="B15" s="43"/>
      <c r="C15" s="58" t="s">
        <v>390</v>
      </c>
      <c r="D15" s="58"/>
      <c r="E15" s="58"/>
      <c r="F15" s="58"/>
      <c r="G15" s="49"/>
      <c r="H15" s="50"/>
      <c r="I15" s="50"/>
      <c r="J15" s="50"/>
      <c r="K15" s="50"/>
      <c r="L15" s="51"/>
      <c r="M15" s="43"/>
      <c r="N15" s="43"/>
    </row>
    <row r="16" spans="1:14" ht="14.45" customHeight="1" x14ac:dyDescent="0.25">
      <c r="A16" s="43"/>
      <c r="B16" s="43"/>
      <c r="C16" s="58"/>
      <c r="D16" s="58"/>
      <c r="E16" s="58"/>
      <c r="F16" s="58"/>
      <c r="G16" s="52"/>
      <c r="H16" s="53"/>
      <c r="I16" s="53"/>
      <c r="J16" s="53"/>
      <c r="K16" s="53"/>
      <c r="L16" s="54"/>
      <c r="M16" s="43"/>
      <c r="N16" s="43"/>
    </row>
    <row r="17" spans="1:14" ht="14.45" customHeight="1" x14ac:dyDescent="0.25">
      <c r="A17" s="43"/>
      <c r="B17" s="43"/>
      <c r="C17" s="58"/>
      <c r="D17" s="58"/>
      <c r="E17" s="58"/>
      <c r="F17" s="58"/>
      <c r="G17" s="55"/>
      <c r="H17" s="56"/>
      <c r="I17" s="56"/>
      <c r="J17" s="56"/>
      <c r="K17" s="56"/>
      <c r="L17" s="57"/>
      <c r="M17" s="43"/>
      <c r="N17" s="43"/>
    </row>
    <row r="18" spans="1:14" x14ac:dyDescent="0.25">
      <c r="A18" s="43"/>
      <c r="B18" s="43"/>
      <c r="C18" s="43"/>
      <c r="D18" s="43"/>
      <c r="E18" s="43"/>
      <c r="F18" s="43"/>
      <c r="G18" s="43"/>
      <c r="H18" s="43"/>
      <c r="I18" s="43"/>
      <c r="J18" s="43"/>
      <c r="K18" s="43"/>
      <c r="L18" s="43"/>
      <c r="M18" s="43"/>
      <c r="N18" s="43"/>
    </row>
    <row r="19" spans="1:14" x14ac:dyDescent="0.25">
      <c r="A19" s="45"/>
      <c r="B19" s="45"/>
      <c r="C19" s="45"/>
      <c r="D19" s="45"/>
      <c r="E19" s="45"/>
      <c r="F19" s="45"/>
      <c r="G19" s="45"/>
      <c r="H19" s="45"/>
      <c r="I19" s="45"/>
      <c r="J19" s="45"/>
      <c r="K19" s="45"/>
      <c r="L19" s="45"/>
      <c r="M19" s="45"/>
      <c r="N19" s="45"/>
    </row>
    <row r="20" spans="1:14" x14ac:dyDescent="0.25">
      <c r="A20" s="45"/>
      <c r="B20" s="45"/>
      <c r="C20" s="45"/>
      <c r="D20" s="45"/>
      <c r="E20" s="45"/>
      <c r="F20" s="45"/>
      <c r="G20" s="45"/>
      <c r="H20" s="45"/>
      <c r="I20" s="45"/>
      <c r="J20" s="45"/>
      <c r="K20" s="45"/>
      <c r="L20" s="45"/>
      <c r="M20" s="45"/>
      <c r="N20" s="45"/>
    </row>
    <row r="21" spans="1:14" x14ac:dyDescent="0.25">
      <c r="A21" s="45"/>
      <c r="B21" s="45"/>
      <c r="C21" s="45"/>
      <c r="D21" s="45"/>
      <c r="E21" s="45"/>
      <c r="F21" s="45"/>
      <c r="G21" s="45"/>
      <c r="H21" s="45"/>
      <c r="I21" s="45"/>
      <c r="J21" s="45"/>
      <c r="K21" s="45"/>
      <c r="L21" s="45"/>
      <c r="M21" s="45"/>
      <c r="N21" s="45"/>
    </row>
    <row r="22" spans="1:14" x14ac:dyDescent="0.25">
      <c r="A22" s="45"/>
      <c r="B22" s="45"/>
      <c r="C22" s="45"/>
      <c r="D22" s="45"/>
      <c r="E22" s="45"/>
      <c r="F22" s="45"/>
      <c r="G22" s="45"/>
      <c r="H22" s="45"/>
      <c r="I22" s="45"/>
      <c r="J22" s="45"/>
      <c r="K22" s="45"/>
      <c r="L22" s="45"/>
      <c r="M22" s="45"/>
      <c r="N22" s="45"/>
    </row>
    <row r="23" spans="1:14" ht="14.45" customHeight="1" x14ac:dyDescent="0.25">
      <c r="A23" s="45"/>
      <c r="B23" s="45"/>
      <c r="C23" s="45"/>
      <c r="D23" s="45"/>
      <c r="E23" s="45"/>
      <c r="G23" s="47" t="s">
        <v>391</v>
      </c>
      <c r="H23" s="47"/>
      <c r="I23" s="47"/>
      <c r="J23" s="47"/>
      <c r="K23" s="47"/>
      <c r="L23" s="47"/>
      <c r="M23" s="47"/>
      <c r="N23" s="45"/>
    </row>
    <row r="24" spans="1:14" ht="14.45" customHeight="1" x14ac:dyDescent="0.35">
      <c r="A24" s="45"/>
      <c r="B24" s="45"/>
      <c r="C24" s="45"/>
      <c r="D24" s="45"/>
      <c r="E24" s="45"/>
      <c r="F24" s="46"/>
      <c r="G24" s="47"/>
      <c r="H24" s="47"/>
      <c r="I24" s="47"/>
      <c r="J24" s="47"/>
      <c r="K24" s="47"/>
      <c r="L24" s="47"/>
      <c r="M24" s="47"/>
      <c r="N24" s="45"/>
    </row>
    <row r="25" spans="1:14" ht="14.45" customHeight="1" x14ac:dyDescent="0.35">
      <c r="A25" s="45"/>
      <c r="B25" s="45"/>
      <c r="C25" s="45"/>
      <c r="D25" s="45"/>
      <c r="E25" s="45"/>
      <c r="F25" s="46"/>
      <c r="G25" s="47"/>
      <c r="H25" s="47"/>
      <c r="I25" s="47"/>
      <c r="J25" s="47"/>
      <c r="K25" s="47"/>
      <c r="L25" s="47"/>
      <c r="M25" s="47"/>
      <c r="N25" s="45"/>
    </row>
    <row r="26" spans="1:14" ht="14.45" customHeight="1" x14ac:dyDescent="0.35">
      <c r="A26" s="45"/>
      <c r="B26" s="45"/>
      <c r="C26" s="45"/>
      <c r="D26" s="45"/>
      <c r="E26" s="45"/>
      <c r="F26" s="46"/>
      <c r="G26" s="47"/>
      <c r="H26" s="47"/>
      <c r="I26" s="47"/>
      <c r="J26" s="47"/>
      <c r="K26" s="47"/>
      <c r="L26" s="47"/>
      <c r="M26" s="47"/>
      <c r="N26" s="45"/>
    </row>
    <row r="27" spans="1:14" ht="14.45" customHeight="1" x14ac:dyDescent="0.35">
      <c r="A27" s="45"/>
      <c r="B27" s="45"/>
      <c r="C27" s="45"/>
      <c r="D27" s="45"/>
      <c r="E27" s="45"/>
      <c r="F27" s="46"/>
      <c r="G27" s="47"/>
      <c r="H27" s="47"/>
      <c r="I27" s="47"/>
      <c r="J27" s="47"/>
      <c r="K27" s="47"/>
      <c r="L27" s="47"/>
      <c r="M27" s="47"/>
      <c r="N27" s="45"/>
    </row>
    <row r="28" spans="1:14" ht="14.45" customHeight="1" x14ac:dyDescent="0.3">
      <c r="A28" s="45"/>
      <c r="B28" s="45"/>
      <c r="C28" s="45"/>
      <c r="D28" s="45"/>
      <c r="E28" s="45"/>
      <c r="G28" s="48" t="s">
        <v>389</v>
      </c>
      <c r="H28" s="48"/>
      <c r="I28" s="48"/>
      <c r="J28" s="48"/>
      <c r="K28" s="48"/>
      <c r="L28" s="48"/>
      <c r="M28" s="48"/>
      <c r="N28" s="45"/>
    </row>
    <row r="29" spans="1:14" x14ac:dyDescent="0.25">
      <c r="A29" s="45"/>
      <c r="B29" s="45"/>
      <c r="C29" s="45"/>
      <c r="D29" s="45"/>
      <c r="E29" s="45"/>
      <c r="F29" s="45"/>
      <c r="G29" s="45"/>
      <c r="H29" s="45"/>
      <c r="I29" s="45"/>
      <c r="J29" s="45"/>
      <c r="K29" s="45"/>
      <c r="L29" s="45"/>
      <c r="M29" s="45"/>
      <c r="N29" s="45"/>
    </row>
    <row r="30" spans="1:14" x14ac:dyDescent="0.25">
      <c r="A30" s="45"/>
      <c r="B30" s="45"/>
      <c r="C30" s="45"/>
      <c r="D30" s="45"/>
      <c r="E30" s="45"/>
      <c r="F30" s="45"/>
      <c r="G30" s="45"/>
      <c r="H30" s="45"/>
      <c r="I30" s="45"/>
      <c r="J30" s="45"/>
      <c r="K30" s="45"/>
      <c r="L30" s="45"/>
      <c r="M30" s="45"/>
      <c r="N30" s="45"/>
    </row>
    <row r="31" spans="1:14" x14ac:dyDescent="0.25">
      <c r="A31" s="45"/>
      <c r="B31" s="45"/>
      <c r="C31" s="45"/>
      <c r="D31" s="45"/>
      <c r="E31" s="45"/>
      <c r="F31" s="45"/>
      <c r="G31" s="45"/>
      <c r="H31" s="45"/>
      <c r="I31" s="45"/>
      <c r="J31" s="45"/>
      <c r="K31" s="45"/>
      <c r="L31" s="45"/>
      <c r="M31" s="45"/>
      <c r="N31" s="45"/>
    </row>
    <row r="32" spans="1:14" x14ac:dyDescent="0.25">
      <c r="A32" s="45"/>
      <c r="B32" s="45"/>
      <c r="C32" s="45"/>
      <c r="D32" s="45"/>
      <c r="E32" s="45"/>
      <c r="F32" s="45"/>
      <c r="G32" s="45"/>
      <c r="H32" s="45"/>
      <c r="I32" s="45"/>
      <c r="J32" s="45"/>
      <c r="K32" s="45"/>
      <c r="L32" s="45"/>
      <c r="M32" s="45"/>
      <c r="N32" s="45"/>
    </row>
    <row r="33" spans="1:14" x14ac:dyDescent="0.25">
      <c r="A33" s="43"/>
      <c r="B33" s="43"/>
      <c r="C33" s="43"/>
      <c r="D33" s="43"/>
      <c r="E33" s="43"/>
      <c r="F33" s="43"/>
      <c r="G33" s="43"/>
      <c r="H33" s="43"/>
      <c r="I33" s="43"/>
      <c r="J33" s="43"/>
      <c r="K33" s="43"/>
      <c r="L33" s="43"/>
      <c r="M33" s="43"/>
      <c r="N33" s="43"/>
    </row>
    <row r="34" spans="1:14" x14ac:dyDescent="0.25">
      <c r="A34" s="43"/>
      <c r="B34" s="43"/>
      <c r="C34" s="43"/>
      <c r="D34" s="43"/>
      <c r="E34" s="43"/>
      <c r="F34" s="43"/>
      <c r="G34" s="43"/>
      <c r="H34" s="43"/>
      <c r="I34" s="43"/>
      <c r="J34" s="43"/>
      <c r="K34" s="43"/>
      <c r="L34" s="43"/>
      <c r="M34" s="43"/>
      <c r="N34" s="43"/>
    </row>
  </sheetData>
  <sheetProtection algorithmName="SHA-512" hashValue="jtAQOzlxvN+g7SVR5rQQCx1Y4hrVCINqp41gSEhZxRnrTdnkyzA/N+L2sM75ULZ2LvIAURRCc2gok0eXP6kynQ==" saltValue="P1lpBRnhZnxoYTzvb4umhA==" spinCount="100000" sheet="1" objects="1" scenarios="1"/>
  <protectedRanges>
    <protectedRange sqref="G6:L17" name="Range2"/>
    <protectedRange sqref="G6:L17" name="Range1"/>
  </protectedRanges>
  <mergeCells count="10">
    <mergeCell ref="G23:M27"/>
    <mergeCell ref="G28:M28"/>
    <mergeCell ref="G15:L17"/>
    <mergeCell ref="C15:F17"/>
    <mergeCell ref="C6:F8"/>
    <mergeCell ref="C9:F11"/>
    <mergeCell ref="C12:F14"/>
    <mergeCell ref="G6:L8"/>
    <mergeCell ref="G9:L11"/>
    <mergeCell ref="G12:L14"/>
  </mergeCells>
  <pageMargins left="0.7" right="0.7" top="0.75" bottom="0.75" header="0.3" footer="0.3"/>
  <pageSetup orientation="landscape" r:id="rId1"/>
  <headerFooter>
    <oddHeader>&amp;L&amp;D &amp;T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zoomScaleNormal="100" workbookViewId="0">
      <selection activeCell="D5" sqref="D5"/>
    </sheetView>
  </sheetViews>
  <sheetFormatPr defaultRowHeight="15" x14ac:dyDescent="0.25"/>
  <cols>
    <col min="1" max="1" width="17.140625" style="1" customWidth="1"/>
    <col min="2" max="2" width="49.42578125" customWidth="1"/>
    <col min="3" max="3" width="51.7109375" customWidth="1"/>
  </cols>
  <sheetData>
    <row r="1" spans="1:3" ht="15.6" customHeight="1" x14ac:dyDescent="0.25">
      <c r="A1" s="73" t="s">
        <v>394</v>
      </c>
      <c r="B1" s="73"/>
      <c r="C1" s="73"/>
    </row>
    <row r="2" spans="1:3" ht="15.6" customHeight="1" x14ac:dyDescent="0.25">
      <c r="A2" s="68" t="s">
        <v>395</v>
      </c>
      <c r="B2" s="68"/>
      <c r="C2" s="68"/>
    </row>
    <row r="3" spans="1:3" ht="31.5" customHeight="1" x14ac:dyDescent="0.25">
      <c r="A3" s="68" t="s">
        <v>404</v>
      </c>
      <c r="B3" s="68"/>
      <c r="C3" s="68"/>
    </row>
    <row r="4" spans="1:3" ht="30.95" customHeight="1" x14ac:dyDescent="0.25">
      <c r="A4" s="68" t="s">
        <v>396</v>
      </c>
      <c r="B4" s="68"/>
      <c r="C4" s="68"/>
    </row>
    <row r="5" spans="1:3" ht="15.6" customHeight="1" x14ac:dyDescent="0.25">
      <c r="A5" s="68" t="s">
        <v>397</v>
      </c>
      <c r="B5" s="68"/>
      <c r="C5" s="68"/>
    </row>
    <row r="6" spans="1:3" ht="15.75" x14ac:dyDescent="0.25">
      <c r="A6" s="68" t="s">
        <v>405</v>
      </c>
      <c r="B6" s="68"/>
      <c r="C6" s="68"/>
    </row>
    <row r="7" spans="1:3" x14ac:dyDescent="0.25">
      <c r="A7" s="72"/>
      <c r="B7" s="72"/>
      <c r="C7" s="72"/>
    </row>
    <row r="8" spans="1:3" ht="15.75" x14ac:dyDescent="0.25">
      <c r="A8" s="73" t="s">
        <v>384</v>
      </c>
      <c r="B8" s="73"/>
      <c r="C8" s="73"/>
    </row>
    <row r="9" spans="1:3" x14ac:dyDescent="0.25">
      <c r="A9" s="74" t="s">
        <v>407</v>
      </c>
      <c r="B9" s="74"/>
      <c r="C9" s="74"/>
    </row>
    <row r="10" spans="1:3" ht="14.45" customHeight="1" x14ac:dyDescent="0.25">
      <c r="A10" s="71" t="s">
        <v>398</v>
      </c>
      <c r="B10" s="71"/>
      <c r="C10" s="71"/>
    </row>
    <row r="11" spans="1:3" x14ac:dyDescent="0.25">
      <c r="A11" s="74" t="s">
        <v>406</v>
      </c>
      <c r="B11" s="74"/>
      <c r="C11" s="74"/>
    </row>
    <row r="12" spans="1:3" ht="14.45" customHeight="1" x14ac:dyDescent="0.25">
      <c r="A12" s="71" t="s">
        <v>379</v>
      </c>
      <c r="B12" s="71"/>
      <c r="C12" s="34" t="s">
        <v>381</v>
      </c>
    </row>
    <row r="13" spans="1:3" ht="14.45" customHeight="1" x14ac:dyDescent="0.25">
      <c r="A13" s="71" t="s">
        <v>380</v>
      </c>
      <c r="B13" s="71"/>
      <c r="C13" s="34" t="s">
        <v>382</v>
      </c>
    </row>
    <row r="14" spans="1:3" ht="14.45" customHeight="1" x14ac:dyDescent="0.25">
      <c r="A14" s="69"/>
      <c r="B14" s="69"/>
      <c r="C14" s="69"/>
    </row>
    <row r="15" spans="1:3" x14ac:dyDescent="0.25">
      <c r="A15" s="70" t="s">
        <v>399</v>
      </c>
      <c r="B15" s="70"/>
      <c r="C15" s="70"/>
    </row>
    <row r="16" spans="1:3" x14ac:dyDescent="0.25">
      <c r="A16" s="12"/>
      <c r="B16" s="36"/>
      <c r="C16" s="36"/>
    </row>
    <row r="17" spans="1:3" ht="15.75" x14ac:dyDescent="0.25">
      <c r="A17" s="37" t="s">
        <v>241</v>
      </c>
      <c r="B17" s="37" t="s">
        <v>242</v>
      </c>
      <c r="C17" s="37" t="s">
        <v>383</v>
      </c>
    </row>
    <row r="18" spans="1:3" ht="15.75" x14ac:dyDescent="0.25">
      <c r="A18" s="38">
        <v>3.1</v>
      </c>
      <c r="B18" s="39" t="s">
        <v>3</v>
      </c>
      <c r="C18" s="44">
        <v>22</v>
      </c>
    </row>
    <row r="19" spans="1:3" ht="15.75" x14ac:dyDescent="0.25">
      <c r="A19" s="38">
        <v>3.2</v>
      </c>
      <c r="B19" s="39" t="s">
        <v>243</v>
      </c>
      <c r="C19" s="44">
        <v>3</v>
      </c>
    </row>
    <row r="20" spans="1:3" ht="15.75" x14ac:dyDescent="0.25">
      <c r="A20" s="38">
        <v>3.3</v>
      </c>
      <c r="B20" s="39" t="s">
        <v>244</v>
      </c>
      <c r="C20" s="44">
        <v>9</v>
      </c>
    </row>
    <row r="21" spans="1:3" ht="15.75" x14ac:dyDescent="0.25">
      <c r="A21" s="38">
        <v>3.4</v>
      </c>
      <c r="B21" s="39" t="s">
        <v>245</v>
      </c>
      <c r="C21" s="44">
        <v>9</v>
      </c>
    </row>
    <row r="22" spans="1:3" ht="15.75" x14ac:dyDescent="0.25">
      <c r="A22" s="38">
        <v>3.5</v>
      </c>
      <c r="B22" s="39" t="s">
        <v>246</v>
      </c>
      <c r="C22" s="44">
        <v>11</v>
      </c>
    </row>
    <row r="23" spans="1:3" ht="15.75" x14ac:dyDescent="0.25">
      <c r="A23" s="38">
        <v>3.6</v>
      </c>
      <c r="B23" s="39" t="s">
        <v>247</v>
      </c>
      <c r="C23" s="44">
        <v>3</v>
      </c>
    </row>
    <row r="24" spans="1:3" ht="15.75" x14ac:dyDescent="0.25">
      <c r="A24" s="38">
        <v>3.7</v>
      </c>
      <c r="B24" s="39" t="s">
        <v>86</v>
      </c>
      <c r="C24" s="44">
        <v>6</v>
      </c>
    </row>
    <row r="25" spans="1:3" ht="15.75" x14ac:dyDescent="0.25">
      <c r="A25" s="38">
        <v>3.8</v>
      </c>
      <c r="B25" s="39" t="s">
        <v>92</v>
      </c>
      <c r="C25" s="44">
        <v>9</v>
      </c>
    </row>
    <row r="26" spans="1:3" ht="15.75" x14ac:dyDescent="0.25">
      <c r="A26" s="38">
        <v>3.9</v>
      </c>
      <c r="B26" s="39" t="s">
        <v>248</v>
      </c>
      <c r="C26" s="44">
        <v>2</v>
      </c>
    </row>
    <row r="27" spans="1:3" ht="15.75" x14ac:dyDescent="0.25">
      <c r="A27" s="40">
        <v>3.1</v>
      </c>
      <c r="B27" s="39" t="s">
        <v>249</v>
      </c>
      <c r="C27" s="44">
        <v>6</v>
      </c>
    </row>
    <row r="28" spans="1:3" ht="15.75" x14ac:dyDescent="0.25">
      <c r="A28" s="40">
        <v>3.11</v>
      </c>
      <c r="B28" s="39" t="s">
        <v>113</v>
      </c>
      <c r="C28" s="44">
        <v>3</v>
      </c>
    </row>
    <row r="29" spans="1:3" ht="15.75" x14ac:dyDescent="0.25">
      <c r="A29" s="40">
        <v>3.12</v>
      </c>
      <c r="B29" s="39" t="s">
        <v>250</v>
      </c>
      <c r="C29" s="44">
        <v>4</v>
      </c>
    </row>
    <row r="30" spans="1:3" ht="15.75" x14ac:dyDescent="0.25">
      <c r="A30" s="38">
        <v>3.13</v>
      </c>
      <c r="B30" s="39" t="s">
        <v>251</v>
      </c>
      <c r="C30" s="44">
        <v>16</v>
      </c>
    </row>
    <row r="31" spans="1:3" ht="15.75" x14ac:dyDescent="0.25">
      <c r="A31" s="38">
        <v>3.14</v>
      </c>
      <c r="B31" s="39" t="s">
        <v>252</v>
      </c>
      <c r="C31" s="44">
        <v>7</v>
      </c>
    </row>
  </sheetData>
  <sheetProtection algorithmName="SHA-512" hashValue="VzjH8LJwh4g0QDf7uQzm88SRK48rNFivm5g5H3zRz1L49Zr58wCp/g4IGTXw5TIsxLGpPevvF7dp0dYRVNhQzQ==" saltValue="PNNFxicV5wk37wQbDZVD/w==" spinCount="100000" sheet="1" objects="1" scenarios="1"/>
  <mergeCells count="15">
    <mergeCell ref="A3:C3"/>
    <mergeCell ref="A1:C1"/>
    <mergeCell ref="A2:C2"/>
    <mergeCell ref="A4:C4"/>
    <mergeCell ref="A5:C5"/>
    <mergeCell ref="A6:C6"/>
    <mergeCell ref="A14:C14"/>
    <mergeCell ref="A15:C15"/>
    <mergeCell ref="A12:B12"/>
    <mergeCell ref="A13:B13"/>
    <mergeCell ref="A7:C7"/>
    <mergeCell ref="A8:C8"/>
    <mergeCell ref="A9:C9"/>
    <mergeCell ref="A10:C10"/>
    <mergeCell ref="A11:C11"/>
  </mergeCells>
  <pageMargins left="0.7" right="0.7" top="0.75" bottom="0.75" header="0.3" footer="0.3"/>
  <pageSetup orientation="landscape" r:id="rId1"/>
  <headerFooter>
    <oddHeader>&amp;L&amp;D &amp;T&amp;C&amp;A</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1"/>
  <sheetViews>
    <sheetView zoomScaleNormal="100" workbookViewId="0">
      <selection activeCell="C2" sqref="C2"/>
    </sheetView>
  </sheetViews>
  <sheetFormatPr defaultColWidth="8.7109375" defaultRowHeight="15" x14ac:dyDescent="0.25"/>
  <cols>
    <col min="1" max="1" width="10.85546875" style="27" customWidth="1"/>
    <col min="2" max="2" width="75.140625" style="18" bestFit="1" customWidth="1"/>
    <col min="3" max="3" width="27.28515625" style="27" customWidth="1"/>
    <col min="4" max="4" width="6.85546875" style="17" hidden="1" customWidth="1"/>
    <col min="5" max="5" width="53.85546875" style="19" customWidth="1"/>
    <col min="6" max="6" width="15.28515625" style="17" hidden="1" customWidth="1"/>
    <col min="7" max="16384" width="8.7109375" style="19"/>
  </cols>
  <sheetData>
    <row r="1" spans="1:6" s="23" customFormat="1" ht="18.75" x14ac:dyDescent="0.3">
      <c r="A1" s="20">
        <v>3.1</v>
      </c>
      <c r="B1" s="21" t="s">
        <v>3</v>
      </c>
      <c r="C1" s="20" t="s">
        <v>232</v>
      </c>
      <c r="D1" s="23" t="s">
        <v>236</v>
      </c>
      <c r="F1" s="22" t="s">
        <v>366</v>
      </c>
    </row>
    <row r="2" spans="1:6" ht="30" x14ac:dyDescent="0.25">
      <c r="A2" s="11" t="str">
        <f>HYPERLINK("#Reference!A2","3.1.1")</f>
        <v>3.1.1</v>
      </c>
      <c r="B2" s="18" t="s">
        <v>1</v>
      </c>
      <c r="D2" s="17">
        <f>IF(C2 = "Implemented", 0, IF(C2 = "Planned to be implemented", -5, -5))</f>
        <v>-5</v>
      </c>
      <c r="F2" s="24">
        <f>SUM(D2:D23)</f>
        <v>-29</v>
      </c>
    </row>
    <row r="3" spans="1:6" ht="30" x14ac:dyDescent="0.25">
      <c r="A3" s="11" t="str">
        <f>HYPERLINK("#Reference!$A3","3.1.2")</f>
        <v>3.1.2</v>
      </c>
      <c r="B3" s="18" t="s">
        <v>4</v>
      </c>
      <c r="D3" s="17">
        <f t="shared" ref="D3" si="0">IF(C3 = "Implemented", 0, IF(C3 = "Planned to be implemented", -5, -5))</f>
        <v>-5</v>
      </c>
    </row>
    <row r="4" spans="1:6" x14ac:dyDescent="0.25">
      <c r="A4" s="11" t="str">
        <f>HYPERLINK("#Reference!A4","3.1.3")</f>
        <v>3.1.3</v>
      </c>
      <c r="B4" s="18" t="s">
        <v>5</v>
      </c>
      <c r="D4" s="17">
        <f>IF(C4 = "Implemented", 0, IF(C4 = "Planned to be implemented", -1, -1))</f>
        <v>-1</v>
      </c>
    </row>
    <row r="5" spans="1:6" ht="30" x14ac:dyDescent="0.25">
      <c r="A5" s="11" t="str">
        <f>HYPERLINK("#Reference!A5","3.1.4")</f>
        <v>3.1.4</v>
      </c>
      <c r="B5" s="18" t="s">
        <v>6</v>
      </c>
      <c r="D5" s="17">
        <f t="shared" ref="D5:D23" si="1">IF(C5 = "Implemented", 0, IF(C5 = "Planned to be implemented", -1, -1))</f>
        <v>-1</v>
      </c>
    </row>
    <row r="6" spans="1:6" ht="30" x14ac:dyDescent="0.25">
      <c r="A6" s="11" t="str">
        <f>HYPERLINK("#Reference!A6","3.1.5")</f>
        <v>3.1.5</v>
      </c>
      <c r="B6" s="18" t="s">
        <v>7</v>
      </c>
      <c r="D6" s="17">
        <f>IF(C6 = "Implemented", 0, IF(C6 = "Planned to be implemented", -3, -3))</f>
        <v>-3</v>
      </c>
    </row>
    <row r="7" spans="1:6" x14ac:dyDescent="0.25">
      <c r="A7" s="11" t="str">
        <f>HYPERLINK("#Reference!A7","3.1.6")</f>
        <v>3.1.6</v>
      </c>
      <c r="B7" s="18" t="s">
        <v>8</v>
      </c>
      <c r="D7" s="17">
        <f t="shared" si="1"/>
        <v>-1</v>
      </c>
    </row>
    <row r="8" spans="1:6" ht="30" x14ac:dyDescent="0.25">
      <c r="A8" s="11" t="str">
        <f>HYPERLINK("#Reference!A8","3.1.7")</f>
        <v>3.1.7</v>
      </c>
      <c r="B8" s="18" t="s">
        <v>9</v>
      </c>
      <c r="D8" s="17">
        <f t="shared" si="1"/>
        <v>-1</v>
      </c>
    </row>
    <row r="9" spans="1:6" x14ac:dyDescent="0.25">
      <c r="A9" s="11" t="str">
        <f>HYPERLINK("#Reference!A9","3.1.8")</f>
        <v>3.1.8</v>
      </c>
      <c r="B9" s="18" t="s">
        <v>10</v>
      </c>
      <c r="D9" s="17">
        <f t="shared" si="1"/>
        <v>-1</v>
      </c>
    </row>
    <row r="10" spans="1:6" x14ac:dyDescent="0.25">
      <c r="A10" s="11" t="str">
        <f>HYPERLINK("#Reference!A10","3.1.9")</f>
        <v>3.1.9</v>
      </c>
      <c r="B10" s="18" t="s">
        <v>11</v>
      </c>
      <c r="D10" s="17">
        <f t="shared" si="1"/>
        <v>-1</v>
      </c>
    </row>
    <row r="11" spans="1:6" ht="30" x14ac:dyDescent="0.25">
      <c r="A11" s="11" t="str">
        <f>HYPERLINK("#Reference!A11","3.1.10")</f>
        <v>3.1.10</v>
      </c>
      <c r="B11" s="18" t="s">
        <v>12</v>
      </c>
      <c r="D11" s="17">
        <f t="shared" si="1"/>
        <v>-1</v>
      </c>
    </row>
    <row r="12" spans="1:6" x14ac:dyDescent="0.25">
      <c r="A12" s="11" t="str">
        <f>HYPERLINK("#Reference!A12","3.1.11")</f>
        <v>3.1.11</v>
      </c>
      <c r="B12" s="18" t="s">
        <v>13</v>
      </c>
      <c r="D12" s="17">
        <f t="shared" si="1"/>
        <v>-1</v>
      </c>
    </row>
    <row r="13" spans="1:6" x14ac:dyDescent="0.25">
      <c r="A13" s="11" t="str">
        <f>HYPERLINK("#Reference!A13","3.1.12")</f>
        <v>3.1.12</v>
      </c>
      <c r="B13" s="18" t="s">
        <v>14</v>
      </c>
      <c r="D13" s="17">
        <f>IF(C13 = "Implemented", 0, IF(C13 = "Planned to be implemented", -5, 0))</f>
        <v>0</v>
      </c>
    </row>
    <row r="14" spans="1:6" ht="30" x14ac:dyDescent="0.25">
      <c r="A14" s="11" t="str">
        <f>HYPERLINK("#Reference!A14","3.1.13")</f>
        <v>3.1.13</v>
      </c>
      <c r="B14" s="18" t="s">
        <v>15</v>
      </c>
      <c r="D14" s="17">
        <f>IF(C14 = "Implemented", 0, IF(C14 = "Planned to be implemented", -5, 0))</f>
        <v>0</v>
      </c>
    </row>
    <row r="15" spans="1:6" x14ac:dyDescent="0.25">
      <c r="A15" s="11" t="str">
        <f>HYPERLINK("#Reference!A15","3.1.14")</f>
        <v>3.1.14</v>
      </c>
      <c r="B15" s="18" t="s">
        <v>16</v>
      </c>
      <c r="D15" s="17">
        <f t="shared" si="1"/>
        <v>-1</v>
      </c>
    </row>
    <row r="16" spans="1:6" ht="30" x14ac:dyDescent="0.25">
      <c r="A16" s="11" t="str">
        <f>HYPERLINK("#Reference!A16","3.1.15")</f>
        <v>3.1.15</v>
      </c>
      <c r="B16" s="18" t="s">
        <v>29</v>
      </c>
      <c r="D16" s="17">
        <f t="shared" si="1"/>
        <v>-1</v>
      </c>
    </row>
    <row r="17" spans="1:6" x14ac:dyDescent="0.25">
      <c r="A17" s="11" t="str">
        <f>HYPERLINK("#Reference!A17","3.1.16")</f>
        <v>3.1.16</v>
      </c>
      <c r="B17" s="18" t="s">
        <v>30</v>
      </c>
      <c r="D17" s="17">
        <f>IF(C17 = "Implemented", 0, IF(C17 = "Planned to be implemented", -5, 0))</f>
        <v>0</v>
      </c>
    </row>
    <row r="18" spans="1:6" x14ac:dyDescent="0.25">
      <c r="A18" s="11" t="str">
        <f>HYPERLINK("#Reference!A18","3.1.17")</f>
        <v>3.1.17</v>
      </c>
      <c r="B18" s="18" t="s">
        <v>31</v>
      </c>
      <c r="D18" s="17">
        <f t="shared" ref="D18:D19" si="2">IF(C18 = "Implemented", 0, IF(C18 = "Planned to be implemented", -5, 0))</f>
        <v>0</v>
      </c>
    </row>
    <row r="19" spans="1:6" x14ac:dyDescent="0.25">
      <c r="A19" s="11" t="str">
        <f>HYPERLINK("#Reference!A19","3.1.18")</f>
        <v>3.1.18</v>
      </c>
      <c r="B19" s="18" t="s">
        <v>32</v>
      </c>
      <c r="D19" s="17">
        <f t="shared" si="2"/>
        <v>0</v>
      </c>
    </row>
    <row r="20" spans="1:6" x14ac:dyDescent="0.25">
      <c r="A20" s="11" t="str">
        <f>HYPERLINK("#Reference!A20","3.1.19")</f>
        <v>3.1.19</v>
      </c>
      <c r="B20" s="18" t="s">
        <v>392</v>
      </c>
      <c r="D20" s="17">
        <f>IF(C20 = "Implemented", 0, IF(C20 = "Planned to be implemented", -3, -3))</f>
        <v>-3</v>
      </c>
    </row>
    <row r="21" spans="1:6" x14ac:dyDescent="0.25">
      <c r="A21" s="11" t="str">
        <f>HYPERLINK("#Reference!A21","3.1.20")</f>
        <v>3.1.20</v>
      </c>
      <c r="B21" s="18" t="s">
        <v>33</v>
      </c>
      <c r="D21" s="17">
        <f t="shared" si="1"/>
        <v>-1</v>
      </c>
    </row>
    <row r="22" spans="1:6" x14ac:dyDescent="0.25">
      <c r="A22" s="11" t="str">
        <f>HYPERLINK("#Reference!A22","3.1.21")</f>
        <v>3.1.21</v>
      </c>
      <c r="B22" s="18" t="s">
        <v>34</v>
      </c>
      <c r="D22" s="17">
        <f t="shared" si="1"/>
        <v>-1</v>
      </c>
    </row>
    <row r="23" spans="1:6" x14ac:dyDescent="0.25">
      <c r="A23" s="11" t="str">
        <f>HYPERLINK("#Reference!A23","3.1.22")</f>
        <v>3.1.22</v>
      </c>
      <c r="B23" s="18" t="s">
        <v>35</v>
      </c>
      <c r="D23" s="17">
        <f t="shared" si="1"/>
        <v>-1</v>
      </c>
    </row>
    <row r="24" spans="1:6" ht="18.75" x14ac:dyDescent="0.3">
      <c r="F24" s="23"/>
    </row>
    <row r="25" spans="1:6" s="29" customFormat="1" ht="18.75" x14ac:dyDescent="0.3">
      <c r="A25" s="28"/>
      <c r="C25" s="20"/>
      <c r="D25" s="23"/>
      <c r="E25" s="19"/>
      <c r="F25" s="23"/>
    </row>
    <row r="29" spans="1:6" ht="18.75" x14ac:dyDescent="0.3">
      <c r="F29" s="23"/>
    </row>
    <row r="30" spans="1:6" s="29" customFormat="1" ht="18.75" x14ac:dyDescent="0.3">
      <c r="A30" s="28"/>
      <c r="C30" s="20"/>
      <c r="D30" s="23"/>
      <c r="F30" s="17"/>
    </row>
    <row r="40" spans="1:6" ht="18.75" x14ac:dyDescent="0.3">
      <c r="F40" s="23"/>
    </row>
    <row r="41" spans="1:6" s="29" customFormat="1" ht="18.75" x14ac:dyDescent="0.3">
      <c r="A41" s="28"/>
      <c r="C41" s="20"/>
      <c r="D41" s="23"/>
      <c r="F41" s="17"/>
    </row>
  </sheetData>
  <sheetProtection algorithmName="SHA-512" hashValue="WfefzGDK/BovoZ6+hu6eM0xOLDZe0RODn/yXmxfzNyWbbV4nfJveICYS6154eVMrrOrrC7fmnnwY8cPNhcyV1g==" saltValue="coAXn8snTWgab6mVjB8XOg==" spinCount="100000" sheet="1" objects="1" scenarios="1"/>
  <protectedRanges>
    <protectedRange sqref="C2:C23" name="Range1"/>
  </protectedRanges>
  <phoneticPr fontId="2" type="noConversion"/>
  <dataValidations count="1">
    <dataValidation type="list" allowBlank="1" showInputMessage="1" showErrorMessage="1" sqref="C2:C45">
      <formula1>Options</formula1>
    </dataValidation>
  </dataValidations>
  <pageMargins left="0.7" right="0.7" top="0.75" bottom="0.75" header="0.3" footer="0.3"/>
  <pageSetup firstPageNumber="2" orientation="landscape" useFirstPageNumber="1" r:id="rId1"/>
  <headerFooter>
    <oddHeader>&amp;L&amp;D &amp;T&amp;C&amp;A</oddHeader>
    <oddFooter>&amp;R&amp;P</oddFooter>
  </headerFooter>
  <ignoredErrors>
    <ignoredError sqref="D4 D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
  <sheetViews>
    <sheetView zoomScaleNormal="100" workbookViewId="0">
      <selection activeCell="C2" sqref="C2"/>
    </sheetView>
  </sheetViews>
  <sheetFormatPr defaultColWidth="8.7109375" defaultRowHeight="15" x14ac:dyDescent="0.25"/>
  <cols>
    <col min="1" max="1" width="10.85546875" style="25" customWidth="1"/>
    <col min="2" max="2" width="76.140625" style="19" bestFit="1" customWidth="1"/>
    <col min="3" max="3" width="27.28515625" style="25" customWidth="1"/>
    <col min="4" max="4" width="6.85546875" style="17" hidden="1" customWidth="1"/>
    <col min="5" max="5" width="53.85546875" style="19" customWidth="1"/>
    <col min="6" max="6" width="14" style="17" hidden="1" customWidth="1"/>
    <col min="7" max="16384" width="8.7109375" style="19"/>
  </cols>
  <sheetData>
    <row r="1" spans="1:6" ht="18.75" x14ac:dyDescent="0.3">
      <c r="A1" s="20">
        <v>3.2</v>
      </c>
      <c r="B1" s="21" t="s">
        <v>44</v>
      </c>
      <c r="C1" s="30" t="s">
        <v>232</v>
      </c>
      <c r="D1" s="23" t="s">
        <v>236</v>
      </c>
      <c r="E1" s="23"/>
      <c r="F1" s="22" t="s">
        <v>240</v>
      </c>
    </row>
    <row r="2" spans="1:6" ht="60" x14ac:dyDescent="0.25">
      <c r="A2" s="11" t="str">
        <f>HYPERLINK("#Reference!A24","3.2.1")</f>
        <v>3.2.1</v>
      </c>
      <c r="B2" s="18" t="s">
        <v>46</v>
      </c>
      <c r="D2" s="17">
        <f>IF(C2 = "Implemented", 0, IF(C2 = "Planned to be implemented", -5, -5))</f>
        <v>-5</v>
      </c>
      <c r="F2" s="24">
        <f>SUM(D2:D23)</f>
        <v>-11</v>
      </c>
    </row>
    <row r="3" spans="1:6" ht="30" x14ac:dyDescent="0.25">
      <c r="A3" s="11" t="str">
        <f>HYPERLINK("#Reference!A25","3.2.2")</f>
        <v>3.2.2</v>
      </c>
      <c r="B3" s="18" t="s">
        <v>47</v>
      </c>
      <c r="D3" s="17">
        <f t="shared" ref="D3" si="0">IF(C3 = "Implemented", 0, IF(C3 = "Planned to be implemented", -5, -5))</f>
        <v>-5</v>
      </c>
    </row>
    <row r="4" spans="1:6" ht="30" x14ac:dyDescent="0.25">
      <c r="A4" s="11" t="str">
        <f>HYPERLINK("#Reference!A26","3.2.3")</f>
        <v>3.2.3</v>
      </c>
      <c r="B4" s="18" t="s">
        <v>48</v>
      </c>
      <c r="D4" s="17">
        <f>IF(C4 = "Implemented", 0, IF(C4 = "Planned to be implemented", -1, -1))</f>
        <v>-1</v>
      </c>
    </row>
  </sheetData>
  <sheetProtection algorithmName="SHA-512" hashValue="mTFsxHo0nUVaOecMf74FFFrv23nVzBfQ9yqgjWSRaIBGvLfhDAag3giJfHbxa8l852MtTQeSNbrdboCw9BTawA==" saltValue="89wcGMVuqzusuVK20mMXLg==" spinCount="100000" sheet="1" objects="1" scenarios="1"/>
  <protectedRanges>
    <protectedRange sqref="C2:C4" name="Range1"/>
  </protectedRanges>
  <dataValidations count="1">
    <dataValidation type="list" allowBlank="1" showInputMessage="1" showErrorMessage="1" sqref="C2:C4">
      <formula1>Options</formula1>
    </dataValidation>
  </dataValidations>
  <pageMargins left="0.7" right="0.7" top="0.75" bottom="0.75" header="0.3" footer="0.3"/>
  <pageSetup firstPageNumber="3" orientation="landscape" useFirstPageNumber="1" r:id="rId1"/>
  <headerFooter>
    <oddHeader>&amp;L&amp;D &amp;T&amp;C&amp;A</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0"/>
  <sheetViews>
    <sheetView zoomScaleNormal="100" workbookViewId="0">
      <selection activeCell="C2" sqref="C2"/>
    </sheetView>
  </sheetViews>
  <sheetFormatPr defaultColWidth="8.7109375" defaultRowHeight="15" x14ac:dyDescent="0.25"/>
  <cols>
    <col min="1" max="1" width="10.85546875" style="25" customWidth="1"/>
    <col min="2" max="2" width="76.140625" style="19" bestFit="1" customWidth="1"/>
    <col min="3" max="3" width="27.28515625" style="25" customWidth="1"/>
    <col min="4" max="4" width="6.85546875" style="17" hidden="1" customWidth="1"/>
    <col min="5" max="5" width="53.85546875" style="19" customWidth="1"/>
    <col min="6" max="6" width="14.140625" style="17" hidden="1" customWidth="1"/>
    <col min="7" max="16384" width="8.7109375" style="19"/>
  </cols>
  <sheetData>
    <row r="1" spans="1:6" ht="18.75" x14ac:dyDescent="0.3">
      <c r="A1" s="20">
        <v>3.3</v>
      </c>
      <c r="B1" s="21" t="s">
        <v>49</v>
      </c>
      <c r="C1" s="30" t="s">
        <v>232</v>
      </c>
      <c r="D1" s="22" t="s">
        <v>236</v>
      </c>
      <c r="E1" s="23"/>
      <c r="F1" s="22" t="s">
        <v>240</v>
      </c>
    </row>
    <row r="2" spans="1:6" ht="45" x14ac:dyDescent="0.25">
      <c r="A2" s="11" t="str">
        <f>HYPERLINK("#Reference!A27","3.3.1")</f>
        <v>3.3.1</v>
      </c>
      <c r="B2" s="18" t="s">
        <v>50</v>
      </c>
      <c r="D2" s="17">
        <f>IF(C2 = "Implemented", 0, IF(C2 = "Planned to be implemented", -5, -5))</f>
        <v>-5</v>
      </c>
      <c r="F2" s="24">
        <f>SUM(D2:D23)</f>
        <v>-19</v>
      </c>
    </row>
    <row r="3" spans="1:6" ht="30" x14ac:dyDescent="0.25">
      <c r="A3" s="11" t="str">
        <f>HYPERLINK("#Reference!A28","3.3.2")</f>
        <v>3.3.2</v>
      </c>
      <c r="B3" s="18" t="s">
        <v>51</v>
      </c>
      <c r="D3" s="17">
        <f>IF(C3 = "Implemented", 0, IF(C3 = "Planned to be implemented", -3, -3))</f>
        <v>-3</v>
      </c>
    </row>
    <row r="4" spans="1:6" x14ac:dyDescent="0.25">
      <c r="A4" s="11" t="str">
        <f>HYPERLINK("#Reference!A29","3.3.3")</f>
        <v>3.3.3</v>
      </c>
      <c r="B4" s="18" t="s">
        <v>52</v>
      </c>
      <c r="D4" s="17">
        <f>IF(C4 = "Implemented", 0, IF(C4 = "Planned to be implemented", -1, -1))</f>
        <v>-1</v>
      </c>
    </row>
    <row r="5" spans="1:6" x14ac:dyDescent="0.25">
      <c r="A5" s="11" t="str">
        <f>HYPERLINK("#Reference!A30","3.3.4")</f>
        <v>3.3.4</v>
      </c>
      <c r="B5" s="18" t="s">
        <v>53</v>
      </c>
      <c r="D5" s="17">
        <f>IF(C5 = "Implemented", 0, IF(C5 = "Planned to be implemented", -1, -1))</f>
        <v>-1</v>
      </c>
    </row>
    <row r="6" spans="1:6" ht="45" x14ac:dyDescent="0.25">
      <c r="A6" s="11" t="str">
        <f>HYPERLINK("#Reference!A31","3.3.5")</f>
        <v>3.3.5</v>
      </c>
      <c r="B6" s="18" t="s">
        <v>54</v>
      </c>
      <c r="D6" s="17">
        <f t="shared" ref="D6" si="0">IF(C6 = "Implemented", 0, IF(C6 = "Planned to be implemented", -5, -5))</f>
        <v>-5</v>
      </c>
    </row>
    <row r="7" spans="1:6" ht="30" x14ac:dyDescent="0.25">
      <c r="A7" s="11" t="str">
        <f>HYPERLINK("#Reference!A32","3.3.6")</f>
        <v>3.3.6</v>
      </c>
      <c r="B7" s="18" t="s">
        <v>55</v>
      </c>
      <c r="D7" s="17">
        <f>IF(C7 = "Implemented", 0, IF(C7 = "Planned to be implemented", -1, -1))</f>
        <v>-1</v>
      </c>
    </row>
    <row r="8" spans="1:6" ht="30" x14ac:dyDescent="0.25">
      <c r="A8" s="11" t="str">
        <f>HYPERLINK("#Reference!A33","3.3.7")</f>
        <v>3.3.7</v>
      </c>
      <c r="B8" s="18" t="s">
        <v>56</v>
      </c>
      <c r="D8" s="17">
        <f>IF(C8 = "Implemented", 0, IF(C8 = "Planned to be implemented", -1, -1))</f>
        <v>-1</v>
      </c>
    </row>
    <row r="9" spans="1:6" ht="30" x14ac:dyDescent="0.25">
      <c r="A9" s="11" t="str">
        <f>HYPERLINK("#Reference!A34","3.3.8")</f>
        <v>3.3.8</v>
      </c>
      <c r="B9" s="18" t="s">
        <v>57</v>
      </c>
      <c r="D9" s="17">
        <f t="shared" ref="D9:D10" si="1">IF(C9 = "Implemented", 0, IF(C9 = "Planned to be implemented", -1, -1))</f>
        <v>-1</v>
      </c>
    </row>
    <row r="10" spans="1:6" x14ac:dyDescent="0.25">
      <c r="A10" s="11" t="str">
        <f>HYPERLINK("#Reference!A35","3.3.9")</f>
        <v>3.3.9</v>
      </c>
      <c r="B10" s="18" t="s">
        <v>58</v>
      </c>
      <c r="D10" s="17">
        <f t="shared" si="1"/>
        <v>-1</v>
      </c>
    </row>
  </sheetData>
  <sheetProtection algorithmName="SHA-512" hashValue="vxSsnsfkeT+EBunXiBClsRoa4xo+UyM0DP7g/QISf12Rj64sIR/rfvL5M5+z/2pmbkC3IcaargtJVkOhpEbfbQ==" saltValue="EnqKksLRPx2ruFzZ2+p7iQ==" spinCount="100000" sheet="1" objects="1" scenarios="1"/>
  <protectedRanges>
    <protectedRange sqref="C2:C10" name="Range1"/>
  </protectedRanges>
  <dataValidations count="1">
    <dataValidation type="list" allowBlank="1" showInputMessage="1" showErrorMessage="1" sqref="C2:C10">
      <formula1>Options</formula1>
    </dataValidation>
  </dataValidations>
  <pageMargins left="0.7" right="0.7" top="0.75" bottom="0.75" header="0.3" footer="0.3"/>
  <pageSetup firstPageNumber="4" orientation="landscape" useFirstPageNumber="1" r:id="rId1"/>
  <headerFooter>
    <oddHeader>&amp;L&amp;D &amp;T&amp;C&amp;A</oddHeader>
    <oddFooter>&amp;R&amp;P</oddFooter>
  </headerFooter>
  <ignoredErrors>
    <ignoredError sqref="D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
  <sheetViews>
    <sheetView zoomScaleNormal="100" workbookViewId="0">
      <selection activeCell="C2" sqref="C2"/>
    </sheetView>
  </sheetViews>
  <sheetFormatPr defaultColWidth="8.7109375" defaultRowHeight="15" x14ac:dyDescent="0.25"/>
  <cols>
    <col min="1" max="1" width="10.85546875" style="25" customWidth="1"/>
    <col min="2" max="2" width="76.28515625" style="19" customWidth="1"/>
    <col min="3" max="3" width="27.28515625" style="25" customWidth="1"/>
    <col min="4" max="4" width="6.85546875" style="17" hidden="1" customWidth="1"/>
    <col min="5" max="5" width="53.85546875" style="19" customWidth="1"/>
    <col min="6" max="6" width="13.85546875" style="17" hidden="1" customWidth="1"/>
    <col min="7" max="16384" width="8.7109375" style="19"/>
  </cols>
  <sheetData>
    <row r="1" spans="1:6" ht="18.75" x14ac:dyDescent="0.3">
      <c r="A1" s="20">
        <v>3.4</v>
      </c>
      <c r="B1" s="21" t="s">
        <v>59</v>
      </c>
      <c r="C1" s="30" t="s">
        <v>232</v>
      </c>
      <c r="D1" s="22" t="s">
        <v>236</v>
      </c>
      <c r="E1" s="23"/>
      <c r="F1" s="22" t="s">
        <v>240</v>
      </c>
    </row>
    <row r="2" spans="1:6" ht="45" x14ac:dyDescent="0.25">
      <c r="A2" s="11" t="str">
        <f>HYPERLINK("#Reference!A36","3.4.1")</f>
        <v>3.4.1</v>
      </c>
      <c r="B2" s="18" t="s">
        <v>60</v>
      </c>
      <c r="D2" s="17">
        <f>IF(C2 = "Implemented", 0, IF(C2 = "Planned to be implemented", -5, -5))</f>
        <v>-5</v>
      </c>
      <c r="F2" s="24">
        <f>SUM(D2:D23)</f>
        <v>-33</v>
      </c>
    </row>
    <row r="3" spans="1:6" ht="30" x14ac:dyDescent="0.25">
      <c r="A3" s="11" t="str">
        <f>HYPERLINK("#Reference!A37","3.4.2")</f>
        <v>3.4.2</v>
      </c>
      <c r="B3" s="18" t="s">
        <v>61</v>
      </c>
      <c r="D3" s="17">
        <f t="shared" ref="D3:D9" si="0">IF(C3 = "Implemented", 0, IF(C3 = "Planned to be implemented", -5, -5))</f>
        <v>-5</v>
      </c>
    </row>
    <row r="4" spans="1:6" x14ac:dyDescent="0.25">
      <c r="A4" s="11" t="str">
        <f>HYPERLINK("#Reference!A38","3.4.3")</f>
        <v>3.4.3</v>
      </c>
      <c r="B4" s="18" t="s">
        <v>62</v>
      </c>
      <c r="D4" s="17">
        <f>IF(C4 = "Implemented", 0, IF(C4 = "Planned to be implemented", -1, -1))</f>
        <v>-1</v>
      </c>
    </row>
    <row r="5" spans="1:6" x14ac:dyDescent="0.25">
      <c r="A5" s="11" t="str">
        <f>HYPERLINK("#Reference!A39","3.4.4")</f>
        <v>3.4.4</v>
      </c>
      <c r="B5" s="18" t="s">
        <v>63</v>
      </c>
      <c r="D5" s="17">
        <f>IF(C5 = "Implemented", 0, IF(C5 = "Planned to be implemented", -1, -1))</f>
        <v>-1</v>
      </c>
    </row>
    <row r="6" spans="1:6" ht="30" x14ac:dyDescent="0.25">
      <c r="A6" s="11" t="str">
        <f>HYPERLINK("#Reference!A40","3.4.5")</f>
        <v>3.4.5</v>
      </c>
      <c r="B6" s="18" t="s">
        <v>64</v>
      </c>
      <c r="D6" s="17">
        <f t="shared" si="0"/>
        <v>-5</v>
      </c>
    </row>
    <row r="7" spans="1:6" ht="30" x14ac:dyDescent="0.25">
      <c r="A7" s="11" t="str">
        <f>HYPERLINK("#Reference!A41","3.4.6")</f>
        <v>3.4.6</v>
      </c>
      <c r="B7" s="18" t="s">
        <v>65</v>
      </c>
      <c r="D7" s="17">
        <f t="shared" si="0"/>
        <v>-5</v>
      </c>
    </row>
    <row r="8" spans="1:6" ht="30" x14ac:dyDescent="0.25">
      <c r="A8" s="11" t="str">
        <f>HYPERLINK("#Reference!A42","3.4.7")</f>
        <v>3.4.7</v>
      </c>
      <c r="B8" s="18" t="s">
        <v>66</v>
      </c>
      <c r="D8" s="17">
        <f t="shared" si="0"/>
        <v>-5</v>
      </c>
    </row>
    <row r="9" spans="1:6" ht="45" x14ac:dyDescent="0.25">
      <c r="A9" s="11" t="str">
        <f>HYPERLINK("#Reference!A43","3.4.8")</f>
        <v>3.4.8</v>
      </c>
      <c r="B9" s="18" t="s">
        <v>67</v>
      </c>
      <c r="D9" s="17">
        <f t="shared" si="0"/>
        <v>-5</v>
      </c>
    </row>
    <row r="10" spans="1:6" x14ac:dyDescent="0.25">
      <c r="A10" s="11" t="str">
        <f>HYPERLINK("#Reference!A44","3.4.9")</f>
        <v>3.4.9</v>
      </c>
      <c r="B10" s="18" t="s">
        <v>68</v>
      </c>
      <c r="D10" s="17">
        <f>IF(C10 = "Implemented", 0, IF(C10 = "Planned to be implemented", -1, -1))</f>
        <v>-1</v>
      </c>
    </row>
  </sheetData>
  <sheetProtection algorithmName="SHA-512" hashValue="LQDmu9Hjdb2dzMQKrJsU0UdUJ8LERKHiE5tpjAirlqHStIz0gJ0lC4R7VX7UpT8FOlM92vwe6UEf24vSbWHOZw==" saltValue="PBpSFSMymJDcF4IaFeqXQA==" spinCount="100000" sheet="1" objects="1" scenarios="1"/>
  <protectedRanges>
    <protectedRange sqref="C2:C10" name="Range1"/>
  </protectedRanges>
  <dataValidations count="1">
    <dataValidation type="list" allowBlank="1" showInputMessage="1" showErrorMessage="1" sqref="C2:C10">
      <formula1>Options</formula1>
    </dataValidation>
  </dataValidations>
  <pageMargins left="0.7" right="0.7" top="0.75" bottom="0.75" header="0.3" footer="0.3"/>
  <pageSetup firstPageNumber="5" orientation="landscape" useFirstPageNumber="1" r:id="rId1"/>
  <headerFooter>
    <oddHeader>&amp;L&amp;D &amp;T&amp;C&amp;A</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2"/>
  <sheetViews>
    <sheetView zoomScaleNormal="100" workbookViewId="0">
      <selection activeCell="C2" sqref="C2"/>
    </sheetView>
  </sheetViews>
  <sheetFormatPr defaultColWidth="8.7109375" defaultRowHeight="15" x14ac:dyDescent="0.25"/>
  <cols>
    <col min="1" max="1" width="10.85546875" style="25" customWidth="1"/>
    <col min="2" max="2" width="76.28515625" style="19"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3.5</v>
      </c>
      <c r="B1" s="21" t="s">
        <v>69</v>
      </c>
      <c r="C1" s="30" t="s">
        <v>232</v>
      </c>
      <c r="D1" s="22" t="s">
        <v>236</v>
      </c>
      <c r="E1" s="23"/>
      <c r="F1" s="22" t="s">
        <v>240</v>
      </c>
    </row>
    <row r="2" spans="1:6" x14ac:dyDescent="0.25">
      <c r="A2" s="11" t="str">
        <f>HYPERLINK("#Reference!A45","3.5.1")</f>
        <v>3.5.1</v>
      </c>
      <c r="B2" s="18" t="s">
        <v>70</v>
      </c>
      <c r="D2" s="17">
        <f>IF(C2 = "Implemented", 0, IF(C2 = "Planned to be implemented", -5, -5))</f>
        <v>-5</v>
      </c>
      <c r="F2" s="24">
        <f>SUM(D2:D23)</f>
        <v>-27</v>
      </c>
    </row>
    <row r="3" spans="1:6" ht="30" x14ac:dyDescent="0.25">
      <c r="A3" s="11" t="str">
        <f>HYPERLINK("#Reference!A46","3.5.2")</f>
        <v>3.5.2</v>
      </c>
      <c r="B3" s="18" t="s">
        <v>71</v>
      </c>
      <c r="D3" s="17">
        <f>IF(C3 = "Implemented", 0, IF(C3 = "Planned to be implemented", -5, -5))</f>
        <v>-5</v>
      </c>
    </row>
    <row r="4" spans="1:6" ht="30" x14ac:dyDescent="0.25">
      <c r="A4" s="11" t="str">
        <f>HYPERLINK("#Reference!A47","3.5.3")</f>
        <v>3.5.3</v>
      </c>
      <c r="B4" s="18" t="s">
        <v>72</v>
      </c>
      <c r="D4" s="17">
        <f>IF(C4 = "Implemented", 0, IF(C4 = "Planned to be implemented", -5, -5))</f>
        <v>-5</v>
      </c>
    </row>
    <row r="5" spans="1:6" ht="30" x14ac:dyDescent="0.25">
      <c r="A5" s="11" t="str">
        <f>HYPERLINK("#Reference!A48","3.5.4")</f>
        <v>3.5.4</v>
      </c>
      <c r="B5" s="18" t="s">
        <v>73</v>
      </c>
      <c r="D5" s="17">
        <f>IF(C5 = "Implemented", 0, IF(C5 = "Planned to be implemented", -1, -1))</f>
        <v>-1</v>
      </c>
    </row>
    <row r="6" spans="1:6" x14ac:dyDescent="0.25">
      <c r="A6" s="11" t="str">
        <f>HYPERLINK("#Reference!A49","3.5.5")</f>
        <v>3.5.5</v>
      </c>
      <c r="B6" s="18" t="s">
        <v>74</v>
      </c>
      <c r="D6" s="17">
        <f t="shared" ref="D6:D12" si="0">IF(C6 = "Implemented", 0, IF(C6 = "Planned to be implemented", -1, -1))</f>
        <v>-1</v>
      </c>
    </row>
    <row r="7" spans="1:6" x14ac:dyDescent="0.25">
      <c r="A7" s="11" t="str">
        <f>HYPERLINK("#Reference!A50","3.5.6")</f>
        <v>3.5.6</v>
      </c>
      <c r="B7" s="18" t="s">
        <v>75</v>
      </c>
      <c r="D7" s="17">
        <f t="shared" si="0"/>
        <v>-1</v>
      </c>
    </row>
    <row r="8" spans="1:6" ht="30" x14ac:dyDescent="0.25">
      <c r="A8" s="11" t="str">
        <f>HYPERLINK("#Reference!A51","3.5.7")</f>
        <v>3.5.7</v>
      </c>
      <c r="B8" s="18" t="s">
        <v>76</v>
      </c>
      <c r="D8" s="17">
        <f t="shared" si="0"/>
        <v>-1</v>
      </c>
    </row>
    <row r="9" spans="1:6" x14ac:dyDescent="0.25">
      <c r="A9" s="11" t="str">
        <f>HYPERLINK("#Reference!A52","3.5.8")</f>
        <v>3.5.8</v>
      </c>
      <c r="B9" s="18" t="s">
        <v>77</v>
      </c>
      <c r="D9" s="17">
        <f t="shared" si="0"/>
        <v>-1</v>
      </c>
    </row>
    <row r="10" spans="1:6" ht="30" x14ac:dyDescent="0.25">
      <c r="A10" s="11" t="str">
        <f>HYPERLINK("#Reference!A53","3.5.9")</f>
        <v>3.5.9</v>
      </c>
      <c r="B10" s="18" t="s">
        <v>78</v>
      </c>
      <c r="D10" s="17">
        <f t="shared" si="0"/>
        <v>-1</v>
      </c>
    </row>
    <row r="11" spans="1:6" x14ac:dyDescent="0.25">
      <c r="A11" s="11" t="str">
        <f>HYPERLINK("#Reference!A54","3.5.10")</f>
        <v>3.5.10</v>
      </c>
      <c r="B11" s="18" t="s">
        <v>79</v>
      </c>
      <c r="D11" s="17">
        <f>IF(C11 = "Implemented", 0, IF(C11 = "Planned to be implemented", -5, -5))</f>
        <v>-5</v>
      </c>
    </row>
    <row r="12" spans="1:6" x14ac:dyDescent="0.25">
      <c r="A12" s="11" t="str">
        <f>HYPERLINK("#Reference!A55","3.5.11")</f>
        <v>3.5.11</v>
      </c>
      <c r="B12" s="18" t="s">
        <v>80</v>
      </c>
      <c r="D12" s="17">
        <f t="shared" si="0"/>
        <v>-1</v>
      </c>
    </row>
  </sheetData>
  <sheetProtection algorithmName="SHA-512" hashValue="5mZyfx3BhvatNAZFrwAsI80q+GEck6bAot1WdjQ24iItR6jhEeVvhdF3DXVuP05L0DeVskChGfV5uHLj8OWAWg==" saltValue="6q534CRPuVYmu34B0VyVJA==" spinCount="100000" sheet="1" objects="1" scenarios="1"/>
  <protectedRanges>
    <protectedRange sqref="C2:C12" name="Range1"/>
  </protectedRanges>
  <dataValidations count="1">
    <dataValidation type="list" allowBlank="1" showInputMessage="1" showErrorMessage="1" sqref="C2:C12">
      <formula1>Options</formula1>
    </dataValidation>
  </dataValidations>
  <pageMargins left="0.7" right="0.7" top="0.75" bottom="0.75" header="0.3" footer="0.3"/>
  <pageSetup firstPageNumber="6" orientation="landscape" useFirstPageNumber="1" r:id="rId1"/>
  <headerFooter>
    <oddHeader>&amp;L&amp;D &amp;T&amp;C&amp;A</oddHeader>
    <oddFooter>&amp;R&amp;P</oddFooter>
  </headerFooter>
  <ignoredErrors>
    <ignoredError sqref="D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
  <sheetViews>
    <sheetView zoomScaleNormal="100" workbookViewId="0">
      <selection activeCell="C2" sqref="C2"/>
    </sheetView>
  </sheetViews>
  <sheetFormatPr defaultColWidth="8.7109375" defaultRowHeight="15" x14ac:dyDescent="0.25"/>
  <cols>
    <col min="1" max="1" width="10.85546875" style="25" customWidth="1"/>
    <col min="2" max="2" width="72.425781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3.6</v>
      </c>
      <c r="B1" s="21" t="s">
        <v>81</v>
      </c>
      <c r="C1" s="30" t="s">
        <v>232</v>
      </c>
      <c r="D1" s="22" t="s">
        <v>236</v>
      </c>
      <c r="E1" s="23"/>
      <c r="F1" s="22" t="s">
        <v>240</v>
      </c>
    </row>
    <row r="2" spans="1:6" ht="45" x14ac:dyDescent="0.25">
      <c r="A2" s="11" t="str">
        <f>HYPERLINK("#Reference!A56","3.6.1")</f>
        <v>3.6.1</v>
      </c>
      <c r="B2" s="18" t="s">
        <v>82</v>
      </c>
      <c r="D2" s="17">
        <f>IF(C2 = "Implemented", 0, IF(C2 = "Planned to be implemented", -5, -5))</f>
        <v>-5</v>
      </c>
      <c r="F2" s="24">
        <f>SUM(D2:D23)</f>
        <v>-11</v>
      </c>
    </row>
    <row r="3" spans="1:6" ht="30" x14ac:dyDescent="0.25">
      <c r="A3" s="11" t="str">
        <f>HYPERLINK("#Reference!A57","3.6.2")</f>
        <v>3.6.2</v>
      </c>
      <c r="B3" s="18" t="s">
        <v>83</v>
      </c>
      <c r="D3" s="17">
        <f t="shared" ref="D3" si="0">IF(C3 = "Implemented", 0, IF(C3 = "Planned to be implemented", -5, -5))</f>
        <v>-5</v>
      </c>
    </row>
    <row r="4" spans="1:6" x14ac:dyDescent="0.25">
      <c r="A4" s="11" t="str">
        <f>HYPERLINK("#Reference!A58","3.6.3")</f>
        <v>3.6.3</v>
      </c>
      <c r="B4" s="18" t="s">
        <v>84</v>
      </c>
      <c r="D4" s="17">
        <f>IF(C4 = "Implemented", 0, IF(C4 = "Planned to be implemented", -1, -1))</f>
        <v>-1</v>
      </c>
    </row>
  </sheetData>
  <sheetProtection algorithmName="SHA-512" hashValue="YUpWox9og237wuwGPMGJdwQLwIEAKCnL3kv8CNrIyXzhX3anu8znvXsQJdiRrJSEbcxja6+gzT6VtdICU3AAVw==" saltValue="w8SDmC5ARYSN/JDjwEI6Gg==" spinCount="100000" sheet="1" objects="1" scenarios="1"/>
  <protectedRanges>
    <protectedRange sqref="C2:C4" name="Range1"/>
  </protectedRanges>
  <dataValidations count="1">
    <dataValidation type="list" allowBlank="1" showInputMessage="1" showErrorMessage="1" sqref="C2:C4">
      <formula1>Options</formula1>
    </dataValidation>
  </dataValidations>
  <pageMargins left="0.7" right="0.7" top="0.75" bottom="0.75" header="0.3" footer="0.3"/>
  <pageSetup firstPageNumber="7" orientation="landscape" useFirstPageNumber="1" r:id="rId1"/>
  <headerFooter>
    <oddHeader>&amp;L&amp;D &amp;T&amp;C&amp;A</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
  <sheetViews>
    <sheetView zoomScaleNormal="100" workbookViewId="0">
      <selection activeCell="C2" sqref="C2"/>
    </sheetView>
  </sheetViews>
  <sheetFormatPr defaultColWidth="8.7109375" defaultRowHeight="15" x14ac:dyDescent="0.25"/>
  <cols>
    <col min="1" max="1" width="10.85546875" style="25" customWidth="1"/>
    <col min="2" max="2" width="74.8554687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3.7</v>
      </c>
      <c r="B1" s="21" t="s">
        <v>86</v>
      </c>
      <c r="C1" s="30" t="s">
        <v>232</v>
      </c>
      <c r="D1" s="22" t="s">
        <v>236</v>
      </c>
      <c r="E1" s="23"/>
      <c r="F1" s="22" t="s">
        <v>240</v>
      </c>
    </row>
    <row r="2" spans="1:6" x14ac:dyDescent="0.25">
      <c r="A2" s="11" t="str">
        <f>HYPERLINK("#Reference!A59","3.7.1")</f>
        <v>3.7.1</v>
      </c>
      <c r="B2" s="18" t="s">
        <v>85</v>
      </c>
      <c r="D2" s="17">
        <f>IF(C2 = "Implemented", 0, IF(C2 = "Planned to be implemented", -3, -3))</f>
        <v>-3</v>
      </c>
      <c r="F2" s="24">
        <f>SUM(D2:D23)</f>
        <v>-18</v>
      </c>
    </row>
    <row r="3" spans="1:6" ht="30" x14ac:dyDescent="0.25">
      <c r="A3" s="11" t="str">
        <f>HYPERLINK("#Reference!A60","3.7.2")</f>
        <v>3.7.2</v>
      </c>
      <c r="B3" s="18" t="s">
        <v>87</v>
      </c>
      <c r="D3" s="17">
        <f>IF(C3 = "Implemented", 0, IF(C3 = "Planned to be implemented", -5, -5))</f>
        <v>-5</v>
      </c>
    </row>
    <row r="4" spans="1:6" x14ac:dyDescent="0.25">
      <c r="A4" s="11" t="str">
        <f>HYPERLINK("#Reference!A61","3.7.3")</f>
        <v>3.7.3</v>
      </c>
      <c r="B4" s="18" t="s">
        <v>88</v>
      </c>
      <c r="D4" s="17">
        <f>IF(C4 = "Implemented", 0, IF(C4 = "Planned to be implemented", -1, -1))</f>
        <v>-1</v>
      </c>
    </row>
    <row r="5" spans="1:6" ht="30" x14ac:dyDescent="0.25">
      <c r="A5" s="11" t="str">
        <f>HYPERLINK("#Reference!A62","3.7.4")</f>
        <v>3.7.4</v>
      </c>
      <c r="B5" s="18" t="s">
        <v>89</v>
      </c>
      <c r="D5" s="17">
        <f t="shared" ref="D5" si="0">IF(C5 = "Implemented", 0, IF(C5 = "Planned to be implemented", -3, -3))</f>
        <v>-3</v>
      </c>
    </row>
    <row r="6" spans="1:6" ht="45" x14ac:dyDescent="0.25">
      <c r="A6" s="11" t="str">
        <f>HYPERLINK("#Reference!A63","3.7.5")</f>
        <v>3.7.5</v>
      </c>
      <c r="B6" s="18" t="s">
        <v>90</v>
      </c>
      <c r="D6" s="17">
        <f>IF(C6 = "Implemented", 0, IF(C6 = "Planned to be implemented", -5, -5))</f>
        <v>-5</v>
      </c>
    </row>
    <row r="7" spans="1:6" ht="30" x14ac:dyDescent="0.25">
      <c r="A7" s="11" t="str">
        <f>HYPERLINK("#Reference!A64","3.7.6")</f>
        <v>3.7.6</v>
      </c>
      <c r="B7" s="18" t="s">
        <v>91</v>
      </c>
      <c r="D7" s="17">
        <f>IF(C7 = "Implemented", 0, IF(C7 = "Planned to be implemented", -1, -1))</f>
        <v>-1</v>
      </c>
    </row>
  </sheetData>
  <sheetProtection algorithmName="SHA-512" hashValue="AmYP17IiN8ryK0bbBiewgUrHQntONiS3VATYRB+AhrmrAAS6i0daO/mYIcWqyU2UduAr4T8EpfEgHTlQDVpyHA==" saltValue="jSIK2piwB040drt4vq1qtw==" spinCount="100000" sheet="1" objects="1" scenarios="1"/>
  <protectedRanges>
    <protectedRange sqref="C2:C7" name="Range1"/>
  </protectedRanges>
  <dataValidations count="1">
    <dataValidation type="list" allowBlank="1" showInputMessage="1" showErrorMessage="1" sqref="C2:C7">
      <formula1>Options</formula1>
    </dataValidation>
  </dataValidations>
  <pageMargins left="0.7" right="0.7" top="0.75" bottom="0.75" header="0.3" footer="0.3"/>
  <pageSetup firstPageNumber="8" orientation="landscape" useFirstPageNumber="1" r:id="rId1"/>
  <headerFooter>
    <oddHeader>&amp;L&amp;D &amp;T&amp;C&amp;A</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Normal="100" workbookViewId="0">
      <selection activeCell="C2" sqref="C2"/>
    </sheetView>
  </sheetViews>
  <sheetFormatPr defaultColWidth="8.7109375" defaultRowHeight="15" x14ac:dyDescent="0.25"/>
  <cols>
    <col min="1" max="1" width="10.85546875" style="25" customWidth="1"/>
    <col min="2" max="2" width="72.425781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3.8</v>
      </c>
      <c r="B1" s="21" t="s">
        <v>92</v>
      </c>
      <c r="C1" s="30" t="s">
        <v>232</v>
      </c>
      <c r="D1" s="22" t="s">
        <v>236</v>
      </c>
      <c r="E1" s="23"/>
      <c r="F1" s="22" t="s">
        <v>240</v>
      </c>
    </row>
    <row r="2" spans="1:6" ht="30" x14ac:dyDescent="0.25">
      <c r="A2" s="11" t="str">
        <f>HYPERLINK("#Reference!A65","3.8.1")</f>
        <v>3.8.1</v>
      </c>
      <c r="B2" s="18" t="s">
        <v>93</v>
      </c>
      <c r="D2" s="17">
        <f>IF(C2 = "Implemented", 0, IF(C2 = "Planned to be implemented", -3, -3))</f>
        <v>-3</v>
      </c>
      <c r="F2" s="24">
        <f>SUM(D2:D23)</f>
        <v>-23</v>
      </c>
    </row>
    <row r="3" spans="1:6" x14ac:dyDescent="0.25">
      <c r="A3" s="11" t="str">
        <f>HYPERLINK("#Reference!A66","3.8.2")</f>
        <v>3.8.2</v>
      </c>
      <c r="B3" s="18" t="s">
        <v>94</v>
      </c>
      <c r="D3" s="17">
        <f t="shared" ref="D3" si="0">IF(C3 = "Implemented", 0, IF(C3 = "Planned to be implemented", -3, -3))</f>
        <v>-3</v>
      </c>
    </row>
    <row r="4" spans="1:6" ht="30" x14ac:dyDescent="0.25">
      <c r="A4" s="11" t="str">
        <f>HYPERLINK("#Reference!A67","3.8.3")</f>
        <v>3.8.3</v>
      </c>
      <c r="B4" s="18" t="s">
        <v>95</v>
      </c>
      <c r="D4" s="17">
        <f>IF(C4 = "Implemented", 0, IF(C4 = "Planned to be implemented", -5, -5))</f>
        <v>-5</v>
      </c>
    </row>
    <row r="5" spans="1:6" x14ac:dyDescent="0.25">
      <c r="A5" s="11" t="str">
        <f>HYPERLINK("#Reference!A68","3.8.4")</f>
        <v>3.8.4</v>
      </c>
      <c r="B5" s="18" t="s">
        <v>96</v>
      </c>
      <c r="D5" s="17">
        <f>IF(C5 = "Implemented", 0, IF(C5 = "Planned to be implemented", -1, -1))</f>
        <v>-1</v>
      </c>
    </row>
    <row r="6" spans="1:6" ht="30" x14ac:dyDescent="0.25">
      <c r="A6" s="11" t="str">
        <f>HYPERLINK("#Reference!A69","3.8.5")</f>
        <v>3.8.5</v>
      </c>
      <c r="B6" s="18" t="s">
        <v>97</v>
      </c>
      <c r="D6" s="17">
        <f>IF(C6 = "Implemented", 0, IF(C6 = "Planned to be implemented", -1, -1))</f>
        <v>-1</v>
      </c>
    </row>
    <row r="7" spans="1:6" ht="45" x14ac:dyDescent="0.25">
      <c r="A7" s="11" t="str">
        <f>HYPERLINK("#Reference!A70","3.8.6")</f>
        <v>3.8.6</v>
      </c>
      <c r="B7" s="18" t="s">
        <v>98</v>
      </c>
      <c r="D7" s="17">
        <f t="shared" ref="D7" si="1">IF(C7 = "Implemented", 0, IF(C7 = "Planned to be implemented", -1, -1))</f>
        <v>-1</v>
      </c>
    </row>
    <row r="8" spans="1:6" x14ac:dyDescent="0.25">
      <c r="A8" s="11" t="str">
        <f>HYPERLINK("#Reference!A71","3.8.7")</f>
        <v>3.8.7</v>
      </c>
      <c r="B8" s="18" t="s">
        <v>99</v>
      </c>
      <c r="D8" s="17">
        <f>IF(C8 = "Implemented", 0, IF(C8 = "Planned to be implemented", -5, -5))</f>
        <v>-5</v>
      </c>
    </row>
    <row r="9" spans="1:6" ht="30" x14ac:dyDescent="0.25">
      <c r="A9" s="11" t="str">
        <f>HYPERLINK("#Reference!A72","3.8.8")</f>
        <v>3.8.8</v>
      </c>
      <c r="B9" s="18" t="s">
        <v>100</v>
      </c>
      <c r="D9" s="17">
        <f>IF(C9 = "Implemented", 0, IF(C9 = "Planned to be implemented", -3, -3))</f>
        <v>-3</v>
      </c>
    </row>
    <row r="10" spans="1:6" x14ac:dyDescent="0.25">
      <c r="A10" s="11" t="str">
        <f>HYPERLINK("#Reference!A73","3.8.9")</f>
        <v>3.8.9</v>
      </c>
      <c r="B10" s="18" t="s">
        <v>101</v>
      </c>
      <c r="D10" s="17">
        <f>IF(C10 = "Implemented", 0, IF(C10 = "Planned to be implemented", -1, -1))</f>
        <v>-1</v>
      </c>
    </row>
  </sheetData>
  <sheetProtection algorithmName="SHA-512" hashValue="Oi9YBH4kCQbB4c0TbONiUo9G4YJ5x4GqYB/VjeuHSN4FgHvVuvFd1pRJRGQn0YtIhzde3Ldc2bpHVbU3gxTAng==" saltValue="74t6snsR42eR+wOKLQoxvg==" spinCount="100000" sheet="1" objects="1" scenarios="1"/>
  <protectedRanges>
    <protectedRange sqref="C2:C10" name="Range1"/>
  </protectedRanges>
  <dataValidations count="1">
    <dataValidation type="list" allowBlank="1" showInputMessage="1" showErrorMessage="1" sqref="C2:C10">
      <formula1>Options</formula1>
    </dataValidation>
  </dataValidations>
  <pageMargins left="0.7" right="0.7" top="0.75" bottom="0.75" header="0.3" footer="0.3"/>
  <pageSetup firstPageNumber="9" orientation="landscape" useFirstPageNumber="1" r:id="rId1"/>
  <headerFooter>
    <oddHeader>&amp;L&amp;D &amp;T&amp;C&amp;A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3"/>
  <sheetViews>
    <sheetView zoomScaleNormal="100" workbookViewId="0">
      <selection activeCell="C2" sqref="C2"/>
    </sheetView>
  </sheetViews>
  <sheetFormatPr defaultColWidth="8.7109375" defaultRowHeight="15" x14ac:dyDescent="0.25"/>
  <cols>
    <col min="1" max="1" width="10.85546875" style="25" customWidth="1"/>
    <col min="2" max="2" width="73.8554687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3.9</v>
      </c>
      <c r="B1" s="21" t="s">
        <v>102</v>
      </c>
      <c r="C1" s="30" t="s">
        <v>232</v>
      </c>
      <c r="D1" s="22" t="s">
        <v>236</v>
      </c>
      <c r="E1" s="23"/>
      <c r="F1" s="22" t="s">
        <v>240</v>
      </c>
    </row>
    <row r="2" spans="1:6" ht="30" x14ac:dyDescent="0.25">
      <c r="A2" s="11" t="str">
        <f>HYPERLINK("#Reference!A74","3.9.1")</f>
        <v>3.9.1</v>
      </c>
      <c r="B2" s="18" t="s">
        <v>103</v>
      </c>
      <c r="D2" s="17">
        <f>IF(C2 = "Implemented", 0, IF(C2 = "Planned to be implemented", -3, -3))</f>
        <v>-3</v>
      </c>
      <c r="F2" s="24">
        <f>SUM(D2:D23)</f>
        <v>-8</v>
      </c>
    </row>
    <row r="3" spans="1:6" ht="30" x14ac:dyDescent="0.25">
      <c r="A3" s="11" t="str">
        <f>HYPERLINK("#Reference!A75","3.9.2")</f>
        <v>3.9.2</v>
      </c>
      <c r="B3" s="18" t="s">
        <v>104</v>
      </c>
      <c r="D3" s="17">
        <f>IF(C3 = "Implemented", 0, IF(C3 = "Planned to be implemented", -5, -5))</f>
        <v>-5</v>
      </c>
    </row>
  </sheetData>
  <sheetProtection algorithmName="SHA-512" hashValue="pmzFw+A2aWy2mq4JKSl1uCO+cbGD15Ok8AQd4P0NAE4j+xJCGLqo8lBFVFEt97NbFhrkLaNrKbihikZcI1TqJQ==" saltValue="nkVG0Y/UzBTQ9HQYt+NWCA==" spinCount="100000" sheet="1" objects="1" scenarios="1"/>
  <protectedRanges>
    <protectedRange sqref="C2:C3" name="Range1"/>
  </protectedRanges>
  <dataValidations count="1">
    <dataValidation type="list" allowBlank="1" showInputMessage="1" showErrorMessage="1" sqref="C2:C3">
      <formula1>Options</formula1>
    </dataValidation>
  </dataValidations>
  <pageMargins left="0.7" right="0.7" top="0.75" bottom="0.75" header="0.3" footer="0.3"/>
  <pageSetup firstPageNumber="10" orientation="landscape" useFirstPageNumber="1" r:id="rId1"/>
  <headerFooter>
    <oddHeader>&amp;L&amp;D &amp;T&amp;C&amp;A</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
  <sheetViews>
    <sheetView zoomScaleNormal="100" workbookViewId="0">
      <selection activeCell="C2" sqref="C2"/>
    </sheetView>
  </sheetViews>
  <sheetFormatPr defaultColWidth="8.7109375" defaultRowHeight="15" x14ac:dyDescent="0.25"/>
  <cols>
    <col min="1" max="1" width="10.85546875" style="25" customWidth="1"/>
    <col min="2" max="2" width="75.285156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6" t="s">
        <v>105</v>
      </c>
      <c r="B1" s="21" t="s">
        <v>107</v>
      </c>
      <c r="C1" s="30" t="s">
        <v>232</v>
      </c>
      <c r="D1" s="22" t="s">
        <v>236</v>
      </c>
      <c r="E1" s="23"/>
      <c r="F1" s="22" t="s">
        <v>240</v>
      </c>
    </row>
    <row r="2" spans="1:6" ht="30" x14ac:dyDescent="0.25">
      <c r="A2" s="11" t="str">
        <f>HYPERLINK("#Reference!A76","3.10.1")</f>
        <v>3.10.1</v>
      </c>
      <c r="B2" s="18" t="s">
        <v>106</v>
      </c>
      <c r="D2" s="17">
        <f>IF(C2 = "Implemented", 0, IF(C2 = "Planned to be implemented", -5, -5))</f>
        <v>-5</v>
      </c>
      <c r="F2" s="24">
        <f>SUM(D2:D23)</f>
        <v>-14</v>
      </c>
    </row>
    <row r="3" spans="1:6" ht="30" x14ac:dyDescent="0.25">
      <c r="A3" s="11" t="str">
        <f>HYPERLINK("#Reference!A77","3.10.2")</f>
        <v>3.10.2</v>
      </c>
      <c r="B3" s="18" t="s">
        <v>108</v>
      </c>
      <c r="D3" s="17">
        <f>IF(C3 = "Implemented", 0, IF(C3 = "Planned to be implemented", -5, -5))</f>
        <v>-5</v>
      </c>
    </row>
    <row r="4" spans="1:6" x14ac:dyDescent="0.25">
      <c r="A4" s="11" t="str">
        <f>HYPERLINK("#Reference!A78","3.10.3")</f>
        <v>3.10.3</v>
      </c>
      <c r="B4" s="18" t="s">
        <v>109</v>
      </c>
      <c r="D4" s="17">
        <f>IF(C4 = "Implemented", 0, IF(C4 = "Planned to be implemented", -1, -1))</f>
        <v>-1</v>
      </c>
    </row>
    <row r="5" spans="1:6" x14ac:dyDescent="0.25">
      <c r="A5" s="11" t="str">
        <f>HYPERLINK("#Reference!A79","3.10.4")</f>
        <v>3.10.4</v>
      </c>
      <c r="B5" s="18" t="s">
        <v>110</v>
      </c>
      <c r="D5" s="17">
        <f t="shared" ref="D5:D7" si="0">IF(C5 = "Implemented", 0, IF(C5 = "Planned to be implemented", -1, -1))</f>
        <v>-1</v>
      </c>
    </row>
    <row r="6" spans="1:6" x14ac:dyDescent="0.25">
      <c r="A6" s="11" t="str">
        <f>HYPERLINK("#Reference!A80","3.10.5")</f>
        <v>3.10.5</v>
      </c>
      <c r="B6" s="18" t="s">
        <v>111</v>
      </c>
      <c r="D6" s="17">
        <f t="shared" si="0"/>
        <v>-1</v>
      </c>
    </row>
    <row r="7" spans="1:6" x14ac:dyDescent="0.25">
      <c r="A7" s="11" t="str">
        <f>HYPERLINK("#Reference!A81","3.10.6")</f>
        <v>3.10.6</v>
      </c>
      <c r="B7" s="18" t="s">
        <v>112</v>
      </c>
      <c r="D7" s="17">
        <f t="shared" si="0"/>
        <v>-1</v>
      </c>
    </row>
  </sheetData>
  <sheetProtection algorithmName="SHA-512" hashValue="kFWzsGqKqT44koXs+cOw/N2k054MAZFjgY35DqF7XI0KkbDnyRXbZ+OS/gCjI56XlXCHlahabAWzILnBO2Ebfg==" saltValue="ZuaYFG6Z+gu+N0ExEXHNNw==" spinCount="100000" sheet="1" objects="1" scenarios="1"/>
  <protectedRanges>
    <protectedRange sqref="C2:C7" name="Range1"/>
  </protectedRanges>
  <dataValidations count="1">
    <dataValidation type="list" allowBlank="1" showInputMessage="1" showErrorMessage="1" sqref="C2:C7">
      <formula1>Options</formula1>
    </dataValidation>
  </dataValidations>
  <pageMargins left="0.7" right="0.7" top="0.75" bottom="0.75" header="0.3" footer="0.3"/>
  <pageSetup firstPageNumber="11" orientation="landscape" useFirstPageNumber="1" r:id="rId1"/>
  <headerFooter>
    <oddHeader>&amp;L&amp;D &amp;T&amp;C&amp;A</oddHeader>
    <oddFooter>&amp;R&amp;P</oddFooter>
  </headerFooter>
  <ignoredErrors>
    <ignoredError sqref="A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
  <sheetViews>
    <sheetView zoomScaleNormal="100" workbookViewId="0">
      <selection activeCell="C2" sqref="C2"/>
    </sheetView>
  </sheetViews>
  <sheetFormatPr defaultColWidth="8.7109375" defaultRowHeight="15" x14ac:dyDescent="0.25"/>
  <cols>
    <col min="1" max="1" width="10.85546875" style="25" customWidth="1"/>
    <col min="2" max="2" width="76.1406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3.11</v>
      </c>
      <c r="B1" s="21" t="s">
        <v>113</v>
      </c>
      <c r="C1" s="30" t="s">
        <v>232</v>
      </c>
      <c r="D1" s="22" t="s">
        <v>236</v>
      </c>
      <c r="E1" s="23"/>
      <c r="F1" s="22" t="s">
        <v>240</v>
      </c>
    </row>
    <row r="2" spans="1:6" ht="60" x14ac:dyDescent="0.25">
      <c r="A2" s="11" t="str">
        <f>HYPERLINK("#Reference!A82","3.11.1")</f>
        <v>3.11.1</v>
      </c>
      <c r="B2" s="18" t="s">
        <v>114</v>
      </c>
      <c r="D2" s="17">
        <f>IF(C2 = "Implemented", 0, IF(C2 = "Planned to be implemented", -3, -3))</f>
        <v>-3</v>
      </c>
      <c r="F2" s="24">
        <f>SUM(D2:D23)</f>
        <v>-9</v>
      </c>
    </row>
    <row r="3" spans="1:6" ht="30" x14ac:dyDescent="0.25">
      <c r="A3" s="11" t="str">
        <f>HYPERLINK("#Reference!A83","3.11.2")</f>
        <v>3.11.2</v>
      </c>
      <c r="B3" s="18" t="s">
        <v>115</v>
      </c>
      <c r="D3" s="17">
        <f>IF(C3 = "Implemented", 0, IF(C3 = "Planned to be implemented", -5, -5))</f>
        <v>-5</v>
      </c>
    </row>
    <row r="4" spans="1:6" x14ac:dyDescent="0.25">
      <c r="A4" s="11" t="str">
        <f>HYPERLINK("#Reference!A84","3.11.3")</f>
        <v>3.11.3</v>
      </c>
      <c r="B4" s="18" t="s">
        <v>116</v>
      </c>
      <c r="D4" s="17">
        <f>IF(C4 = "Implemented", 0, IF(C4 = "Planned to be implemented", -1, -1))</f>
        <v>-1</v>
      </c>
    </row>
  </sheetData>
  <sheetProtection algorithmName="SHA-512" hashValue="hfWtX4xd6vJaO/7fHLlO4+xFQwzEXFKfNG0vofyV9nrSG861089RJEsnQicYmBtFDo28SNYa/BYFp8aYzOTW4w==" saltValue="itYR6ThYJ7FPJycyhVK7Kg==" spinCount="100000" sheet="1" objects="1" scenarios="1"/>
  <protectedRanges>
    <protectedRange sqref="C2:C4" name="Range1"/>
  </protectedRanges>
  <dataValidations count="1">
    <dataValidation type="list" allowBlank="1" showInputMessage="1" showErrorMessage="1" sqref="C2:C4">
      <formula1>Options</formula1>
    </dataValidation>
  </dataValidations>
  <pageMargins left="0.7" right="0.7" top="0.75" bottom="0.75" header="0.3" footer="0.3"/>
  <pageSetup firstPageNumber="12" orientation="landscape" useFirstPageNumber="1" r:id="rId1"/>
  <headerFooter>
    <oddHeader>&amp;L&amp;D &amp;T&amp;C&amp;A</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5"/>
  <sheetViews>
    <sheetView zoomScaleNormal="100" workbookViewId="0">
      <selection activeCell="C2" sqref="C2"/>
    </sheetView>
  </sheetViews>
  <sheetFormatPr defaultColWidth="8.7109375" defaultRowHeight="15" x14ac:dyDescent="0.25"/>
  <cols>
    <col min="1" max="1" width="10.85546875" style="25" customWidth="1"/>
    <col min="2" max="2" width="74.57031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3.12</v>
      </c>
      <c r="B1" s="21" t="s">
        <v>117</v>
      </c>
      <c r="C1" s="30" t="s">
        <v>232</v>
      </c>
      <c r="D1" s="22" t="s">
        <v>236</v>
      </c>
      <c r="E1" s="23"/>
      <c r="F1" s="22" t="s">
        <v>240</v>
      </c>
    </row>
    <row r="2" spans="1:6" ht="30" x14ac:dyDescent="0.25">
      <c r="A2" s="11" t="str">
        <f>HYPERLINK("#Reference!A85","3.12.1")</f>
        <v>3.12.1</v>
      </c>
      <c r="B2" s="18" t="s">
        <v>118</v>
      </c>
      <c r="D2" s="17">
        <f>IF(C2 = "Implemented", 0, IF(C2 = "Planned to be implemented", -5, -5))</f>
        <v>-5</v>
      </c>
      <c r="F2" s="24">
        <f>SUM(D2:D23)</f>
        <v>-13</v>
      </c>
    </row>
    <row r="3" spans="1:6" ht="30" x14ac:dyDescent="0.25">
      <c r="A3" s="11" t="str">
        <f>HYPERLINK("#Reference!A86","3.12.2")</f>
        <v>3.12.2</v>
      </c>
      <c r="B3" s="18" t="s">
        <v>119</v>
      </c>
      <c r="D3" s="17">
        <f>IF(C3 = "Implemented", 0, IF(C3 = "Planned to be implemented", -3, -3))</f>
        <v>-3</v>
      </c>
    </row>
    <row r="4" spans="1:6" ht="30" x14ac:dyDescent="0.25">
      <c r="A4" s="11" t="str">
        <f>HYPERLINK("#Reference!A87","3.12.3")</f>
        <v>3.12.3</v>
      </c>
      <c r="B4" s="18" t="s">
        <v>120</v>
      </c>
      <c r="D4" s="17">
        <f t="shared" ref="D4" si="0">IF(C4 = "Implemented", 0, IF(C4 = "Planned to be implemented", -5, -5))</f>
        <v>-5</v>
      </c>
    </row>
    <row r="5" spans="1:6" ht="60" x14ac:dyDescent="0.25">
      <c r="A5" s="11" t="str">
        <f>HYPERLINK("#Reference!A88","3.12.4")</f>
        <v>3.12.4</v>
      </c>
      <c r="B5" s="18" t="s">
        <v>121</v>
      </c>
      <c r="D5" s="17">
        <f>IF(C5 = "Implemented", 0, IF(C5 = "Planned to be implemented", 0, 0))</f>
        <v>0</v>
      </c>
    </row>
  </sheetData>
  <sheetProtection algorithmName="SHA-512" hashValue="QeCJf1F/qZWvgP61PUVkFzbuI+v+IUfEyefzvyN1yiYZXJqlvMkURX09+/v7+Xg6ju/g1zl9Cyk3rJRUQQSE6A==" saltValue="5ZiCyjekwrygmeHh5idjYQ==" spinCount="100000" sheet="1" objects="1" scenarios="1"/>
  <protectedRanges>
    <protectedRange sqref="C2:C5" name="Range1"/>
  </protectedRanges>
  <dataValidations count="1">
    <dataValidation type="list" allowBlank="1" showInputMessage="1" showErrorMessage="1" sqref="C2:C5">
      <formula1>Options</formula1>
    </dataValidation>
  </dataValidations>
  <pageMargins left="0.7" right="0.7" top="0.75" bottom="0.75" header="0.3" footer="0.3"/>
  <pageSetup firstPageNumber="13" orientation="landscape" useFirstPageNumber="1" r:id="rId1"/>
  <headerFooter>
    <oddHeader>&amp;L&amp;D &amp;T&amp;C&amp;A</oddHeader>
    <oddFooter>&amp;R&amp;P</oddFooter>
  </headerFooter>
  <ignoredErrors>
    <ignoredError sqref="D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7"/>
  <sheetViews>
    <sheetView zoomScaleNormal="100" workbookViewId="0">
      <selection activeCell="C2" sqref="C2"/>
    </sheetView>
  </sheetViews>
  <sheetFormatPr defaultColWidth="8.7109375" defaultRowHeight="15" x14ac:dyDescent="0.25"/>
  <cols>
    <col min="1" max="1" width="10.85546875" style="25" customWidth="1"/>
    <col min="2" max="2" width="75.8554687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3.13</v>
      </c>
      <c r="B1" s="21" t="s">
        <v>122</v>
      </c>
      <c r="C1" s="30" t="s">
        <v>232</v>
      </c>
      <c r="D1" s="22" t="s">
        <v>236</v>
      </c>
      <c r="E1" s="23"/>
      <c r="F1" s="22" t="s">
        <v>240</v>
      </c>
    </row>
    <row r="2" spans="1:6" ht="45" x14ac:dyDescent="0.25">
      <c r="A2" s="11" t="str">
        <f>HYPERLINK("#Reference!A89","3.13.1")</f>
        <v>3.13.1</v>
      </c>
      <c r="B2" s="18" t="s">
        <v>123</v>
      </c>
      <c r="D2" s="17">
        <f>IF(C2 = "Implemented", 0, IF(C2 = "Planned to be implemented", -5, -5))</f>
        <v>-5</v>
      </c>
      <c r="F2" s="24">
        <f>SUM(D2:D23)</f>
        <v>-42</v>
      </c>
    </row>
    <row r="3" spans="1:6" ht="45" x14ac:dyDescent="0.25">
      <c r="A3" s="11" t="str">
        <f>HYPERLINK("#Reference!A90","3.13.2")</f>
        <v>3.13.2</v>
      </c>
      <c r="B3" s="18" t="s">
        <v>124</v>
      </c>
      <c r="D3" s="17">
        <f t="shared" ref="D3" si="0">IF(C3 = "Implemented", 0, IF(C3 = "Planned to be implemented", -5, -5))</f>
        <v>-5</v>
      </c>
    </row>
    <row r="4" spans="1:6" x14ac:dyDescent="0.25">
      <c r="A4" s="11" t="str">
        <f>HYPERLINK("#Reference!A91","3.13.3")</f>
        <v>3.13.3</v>
      </c>
      <c r="B4" s="18" t="s">
        <v>125</v>
      </c>
      <c r="D4" s="17">
        <f>IF(C4 = "Implemented", 0, IF(C4 = "Planned to be implemented", -1, -1))</f>
        <v>-1</v>
      </c>
    </row>
    <row r="5" spans="1:6" ht="30" x14ac:dyDescent="0.25">
      <c r="A5" s="11" t="str">
        <f>HYPERLINK("#Reference!A92","3.13.4")</f>
        <v>3.13.4</v>
      </c>
      <c r="B5" s="18" t="s">
        <v>126</v>
      </c>
      <c r="D5" s="17">
        <f t="shared" ref="D5:D17" si="1">IF(C5 = "Implemented", 0, IF(C5 = "Planned to be implemented", -1, -1))</f>
        <v>-1</v>
      </c>
    </row>
    <row r="6" spans="1:6" ht="30" x14ac:dyDescent="0.25">
      <c r="A6" s="11" t="str">
        <f>HYPERLINK("#Reference!A93","3.13.5")</f>
        <v>3.13.5</v>
      </c>
      <c r="B6" s="18" t="s">
        <v>127</v>
      </c>
      <c r="D6" s="17">
        <f>IF(C6 = "Implemented", 0, IF(C6 = "Planned to be implemented", -5, -5))</f>
        <v>-5</v>
      </c>
    </row>
    <row r="7" spans="1:6" ht="30" x14ac:dyDescent="0.25">
      <c r="A7" s="11" t="str">
        <f>HYPERLINK("#Reference!A94","3.13.6")</f>
        <v>3.13.6</v>
      </c>
      <c r="B7" s="18" t="s">
        <v>128</v>
      </c>
      <c r="D7" s="17">
        <f>IF(C7 = "Implemented", 0, IF(C7 = "Planned to be implemented", -5, -5))</f>
        <v>-5</v>
      </c>
    </row>
    <row r="8" spans="1:6" ht="45" x14ac:dyDescent="0.25">
      <c r="A8" s="11" t="str">
        <f>HYPERLINK("#Reference!A95","3.13.7")</f>
        <v>3.13.7</v>
      </c>
      <c r="B8" s="18" t="s">
        <v>129</v>
      </c>
      <c r="D8" s="17">
        <f t="shared" si="1"/>
        <v>-1</v>
      </c>
    </row>
    <row r="9" spans="1:6" ht="45" x14ac:dyDescent="0.25">
      <c r="A9" s="11" t="str">
        <f>HYPERLINK("#Reference!A96","3.13.8")</f>
        <v>3.13.8</v>
      </c>
      <c r="B9" s="18" t="s">
        <v>130</v>
      </c>
      <c r="D9" s="17">
        <f>IF(C9 = "Implemented", 0, IF(C9 = "Planned to be implemented", -3, -3))</f>
        <v>-3</v>
      </c>
    </row>
    <row r="10" spans="1:6" ht="30" x14ac:dyDescent="0.25">
      <c r="A10" s="11" t="str">
        <f>HYPERLINK("#Reference!A97","3.13.9")</f>
        <v>3.13.9</v>
      </c>
      <c r="B10" s="18" t="s">
        <v>131</v>
      </c>
      <c r="D10" s="17">
        <f t="shared" si="1"/>
        <v>-1</v>
      </c>
    </row>
    <row r="11" spans="1:6" ht="30" x14ac:dyDescent="0.25">
      <c r="A11" s="11" t="str">
        <f>HYPERLINK("#Reference!A98","3.13.10")</f>
        <v>3.13.10</v>
      </c>
      <c r="B11" s="18" t="s">
        <v>132</v>
      </c>
      <c r="D11" s="17">
        <f t="shared" si="1"/>
        <v>-1</v>
      </c>
    </row>
    <row r="12" spans="1:6" ht="30" x14ac:dyDescent="0.25">
      <c r="A12" s="11" t="str">
        <f>HYPERLINK("#Reference!A99","3.13.11")</f>
        <v>3.13.11</v>
      </c>
      <c r="B12" s="18" t="s">
        <v>133</v>
      </c>
      <c r="D12" s="17">
        <f>IF(C12 = "Implemented", 0, IF(C12 = "Planned to be implemented", -5, -5))</f>
        <v>-5</v>
      </c>
    </row>
    <row r="13" spans="1:6" ht="30" x14ac:dyDescent="0.25">
      <c r="A13" s="11" t="str">
        <f>HYPERLINK("#Reference!A100","3.13.12")</f>
        <v>3.13.12</v>
      </c>
      <c r="B13" s="18" t="s">
        <v>134</v>
      </c>
      <c r="D13" s="17">
        <f t="shared" si="1"/>
        <v>-1</v>
      </c>
    </row>
    <row r="14" spans="1:6" x14ac:dyDescent="0.25">
      <c r="A14" s="11" t="str">
        <f>HYPERLINK("#Reference!A101","3.13.13")</f>
        <v>3.13.13</v>
      </c>
      <c r="B14" s="18" t="s">
        <v>135</v>
      </c>
      <c r="D14" s="17">
        <f t="shared" si="1"/>
        <v>-1</v>
      </c>
    </row>
    <row r="15" spans="1:6" x14ac:dyDescent="0.25">
      <c r="A15" s="11" t="str">
        <f>HYPERLINK("#Reference!A102","3.13.14")</f>
        <v>3.13.14</v>
      </c>
      <c r="B15" s="18" t="s">
        <v>253</v>
      </c>
      <c r="D15" s="17">
        <f t="shared" si="1"/>
        <v>-1</v>
      </c>
    </row>
    <row r="16" spans="1:6" x14ac:dyDescent="0.25">
      <c r="A16" s="11" t="str">
        <f>HYPERLINK("#Reference!A103","3.13.15")</f>
        <v>3.13.15</v>
      </c>
      <c r="B16" s="18" t="s">
        <v>136</v>
      </c>
      <c r="D16" s="17">
        <f>IF(C16 = "Implemented", 0, IF(C16 = "Planned to be implemented", -5, -5))</f>
        <v>-5</v>
      </c>
    </row>
    <row r="17" spans="1:4" x14ac:dyDescent="0.25">
      <c r="A17" s="11" t="str">
        <f>HYPERLINK("#Reference!A104","3.13.16")</f>
        <v>3.13.16</v>
      </c>
      <c r="B17" s="18" t="s">
        <v>137</v>
      </c>
      <c r="D17" s="17">
        <f t="shared" si="1"/>
        <v>-1</v>
      </c>
    </row>
  </sheetData>
  <sheetProtection algorithmName="SHA-512" hashValue="2SR4Q/X8+pHSr9u2/1VGwuneH/ZEwsaCFhIH5MgdPq0DkelZz1jUZFsVeO9B4ByT+8gRtMe5YCbFSG/k8AfLkQ==" saltValue="KWnaQ+AtXPFo5F65PBrZwg==" spinCount="100000" sheet="1" objects="1" scenarios="1"/>
  <protectedRanges>
    <protectedRange sqref="C2:C17" name="Range1"/>
  </protectedRanges>
  <dataValidations count="1">
    <dataValidation type="list" allowBlank="1" showInputMessage="1" showErrorMessage="1" sqref="C2:C17">
      <formula1>Options</formula1>
    </dataValidation>
  </dataValidations>
  <pageMargins left="0.7" right="0.7" top="0.75" bottom="0.75" header="0.3" footer="0.3"/>
  <pageSetup firstPageNumber="14" orientation="landscape" useFirstPageNumber="1" r:id="rId1"/>
  <headerFooter>
    <oddHeader>&amp;L&amp;D &amp;T&amp;C&amp;A</oddHeader>
    <oddFooter>&amp;R&amp;P</oddFooter>
  </headerFooter>
  <ignoredErrors>
    <ignoredError sqref="D16 D1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8"/>
  <sheetViews>
    <sheetView zoomScaleNormal="100" workbookViewId="0">
      <selection activeCell="C2" sqref="C2"/>
    </sheetView>
  </sheetViews>
  <sheetFormatPr defaultColWidth="8.7109375" defaultRowHeight="15" x14ac:dyDescent="0.25"/>
  <cols>
    <col min="1" max="1" width="10.85546875" style="25" customWidth="1"/>
    <col min="2" max="2" width="72.28515625" style="19" bestFit="1" customWidth="1"/>
    <col min="3" max="3" width="27.28515625" style="25" customWidth="1"/>
    <col min="4" max="4" width="6.85546875" style="17" hidden="1" customWidth="1"/>
    <col min="5" max="5" width="53.85546875" style="19" customWidth="1"/>
    <col min="6" max="6" width="13.5703125" style="17" hidden="1" customWidth="1"/>
    <col min="7" max="16384" width="8.7109375" style="19"/>
  </cols>
  <sheetData>
    <row r="1" spans="1:6" ht="18.75" x14ac:dyDescent="0.3">
      <c r="A1" s="20">
        <v>3.14</v>
      </c>
      <c r="B1" s="21" t="s">
        <v>138</v>
      </c>
      <c r="C1" s="30" t="s">
        <v>232</v>
      </c>
      <c r="D1" s="22" t="s">
        <v>236</v>
      </c>
      <c r="E1" s="23"/>
      <c r="F1" s="23" t="s">
        <v>240</v>
      </c>
    </row>
    <row r="2" spans="1:6" x14ac:dyDescent="0.25">
      <c r="A2" s="11" t="str">
        <f>HYPERLINK("#Reference!A105","3.14.1")</f>
        <v>3.14.1</v>
      </c>
      <c r="B2" s="18" t="s">
        <v>139</v>
      </c>
      <c r="D2" s="17">
        <f>IF(C2 = "Implemented", 0, IF(C2 = "Planned to be implemented", -5, -5))</f>
        <v>-5</v>
      </c>
      <c r="F2" s="24">
        <f>SUM(D2:D23)</f>
        <v>-31</v>
      </c>
    </row>
    <row r="3" spans="1:6" ht="30" x14ac:dyDescent="0.25">
      <c r="A3" s="11" t="str">
        <f>HYPERLINK("#Reference!A106","3.14.2")</f>
        <v>3.14.2</v>
      </c>
      <c r="B3" s="18" t="s">
        <v>140</v>
      </c>
      <c r="D3" s="17">
        <f t="shared" ref="D3:D7" si="0">IF(C3 = "Implemented", 0, IF(C3 = "Planned to be implemented", -5, -5))</f>
        <v>-5</v>
      </c>
    </row>
    <row r="4" spans="1:6" x14ac:dyDescent="0.25">
      <c r="A4" s="11" t="str">
        <f>HYPERLINK("#Reference!A107","3.14.3")</f>
        <v>3.14.3</v>
      </c>
      <c r="B4" s="18" t="s">
        <v>141</v>
      </c>
      <c r="D4" s="17">
        <f t="shared" si="0"/>
        <v>-5</v>
      </c>
    </row>
    <row r="5" spans="1:6" ht="30" x14ac:dyDescent="0.25">
      <c r="A5" s="11" t="str">
        <f>HYPERLINK("#Reference!A108","3.14.4")</f>
        <v>3.14.4</v>
      </c>
      <c r="B5" s="18" t="s">
        <v>142</v>
      </c>
      <c r="D5" s="17">
        <f t="shared" si="0"/>
        <v>-5</v>
      </c>
    </row>
    <row r="6" spans="1:6" ht="30" x14ac:dyDescent="0.25">
      <c r="A6" s="11" t="str">
        <f>HYPERLINK("#Reference!A109","3.14.5")</f>
        <v>3.14.5</v>
      </c>
      <c r="B6" s="18" t="s">
        <v>143</v>
      </c>
      <c r="D6" s="17">
        <f>IF(C6 = "Implemented", 0, IF(C6 = "Planned to be implemented", -3, -3))</f>
        <v>-3</v>
      </c>
    </row>
    <row r="7" spans="1:6" ht="30" x14ac:dyDescent="0.25">
      <c r="A7" s="11" t="str">
        <f>HYPERLINK("#Reference!A110","3.14.6")</f>
        <v>3.14.6</v>
      </c>
      <c r="B7" s="18" t="s">
        <v>144</v>
      </c>
      <c r="D7" s="17">
        <f t="shared" si="0"/>
        <v>-5</v>
      </c>
    </row>
    <row r="8" spans="1:6" x14ac:dyDescent="0.25">
      <c r="A8" s="11" t="str">
        <f>HYPERLINK("#Reference!A111","3.14.7")</f>
        <v>3.14.7</v>
      </c>
      <c r="B8" s="18" t="s">
        <v>145</v>
      </c>
      <c r="D8" s="17">
        <f>IF(C8 = "Implemented", 0, IF(C8 = "Planned to be implemented", -3, -3))</f>
        <v>-3</v>
      </c>
    </row>
  </sheetData>
  <sheetProtection algorithmName="SHA-512" hashValue="+oIGF1THBXtMqhd7em+DhnJ0N201v58WZgayKkFQhlSgzUeezRiBloIqbwA0C/Mo3gEyXrh5TmrWtbbejEdRbw==" saltValue="WU6k5/tRcM8IxWyvMoDXjA==" spinCount="100000" sheet="1" objects="1" scenarios="1"/>
  <protectedRanges>
    <protectedRange sqref="C2:C8" name="Range1"/>
  </protectedRanges>
  <dataValidations count="1">
    <dataValidation type="list" allowBlank="1" showInputMessage="1" showErrorMessage="1" sqref="C2:C8">
      <formula1>Options</formula1>
    </dataValidation>
  </dataValidations>
  <pageMargins left="0.7" right="0.7" top="0.75" bottom="0.75" header="0.3" footer="0.3"/>
  <pageSetup firstPageNumber="15" orientation="landscape" useFirstPageNumber="1" r:id="rId1"/>
  <headerFooter>
    <oddHeader>&amp;L&amp;D &amp;T&amp;C&amp;A</oddHeader>
    <oddFooter>&amp;R&amp;P</oddFooter>
  </headerFooter>
  <ignoredErrors>
    <ignoredError sqref="D6:D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5"/>
  <sheetViews>
    <sheetView workbookViewId="0">
      <selection activeCell="B6" sqref="B6"/>
    </sheetView>
  </sheetViews>
  <sheetFormatPr defaultRowHeight="15" x14ac:dyDescent="0.25"/>
  <cols>
    <col min="1" max="1" width="15.140625" bestFit="1" customWidth="1"/>
    <col min="2" max="2" width="38" bestFit="1" customWidth="1"/>
    <col min="3" max="3" width="23.140625" bestFit="1" customWidth="1"/>
  </cols>
  <sheetData>
    <row r="1" spans="1:3" ht="15.75" x14ac:dyDescent="0.25">
      <c r="A1" s="9" t="s">
        <v>241</v>
      </c>
      <c r="B1" s="9" t="s">
        <v>242</v>
      </c>
      <c r="C1" s="9" t="s">
        <v>378</v>
      </c>
    </row>
    <row r="2" spans="1:3" ht="15.75" x14ac:dyDescent="0.25">
      <c r="A2" s="6">
        <v>3.1</v>
      </c>
      <c r="B2" s="5" t="s">
        <v>3</v>
      </c>
      <c r="C2" s="2">
        <f>COUNTBLANK('3.1 Access Control'!$C$2:C23)</f>
        <v>22</v>
      </c>
    </row>
    <row r="3" spans="1:3" ht="15.75" x14ac:dyDescent="0.25">
      <c r="A3" s="6">
        <v>3.2</v>
      </c>
      <c r="B3" s="5" t="s">
        <v>243</v>
      </c>
      <c r="C3" s="2">
        <f>COUNTBLANK('3.2 Awareness and Training'!$C$2:C4)</f>
        <v>3</v>
      </c>
    </row>
    <row r="4" spans="1:3" ht="15.75" x14ac:dyDescent="0.25">
      <c r="A4" s="6">
        <v>3.3</v>
      </c>
      <c r="B4" s="5" t="s">
        <v>244</v>
      </c>
      <c r="C4" s="2">
        <f>COUNTBLANK('3.3 Audit and Accountability'!$C$2:C10)</f>
        <v>9</v>
      </c>
    </row>
    <row r="5" spans="1:3" ht="15.75" x14ac:dyDescent="0.25">
      <c r="A5" s="6">
        <v>3.4</v>
      </c>
      <c r="B5" s="5" t="s">
        <v>245</v>
      </c>
      <c r="C5" s="2">
        <f>COUNTBLANK('3.4 Configuration Management'!$C$2:C10)</f>
        <v>9</v>
      </c>
    </row>
    <row r="6" spans="1:3" ht="15.75" x14ac:dyDescent="0.25">
      <c r="A6" s="6">
        <v>3.5</v>
      </c>
      <c r="B6" s="5" t="s">
        <v>246</v>
      </c>
      <c r="C6" s="2">
        <f>COUNTBLANK('3.5 Identification and Auth.'!$C$2:C12)</f>
        <v>11</v>
      </c>
    </row>
    <row r="7" spans="1:3" ht="15.75" x14ac:dyDescent="0.25">
      <c r="A7" s="6">
        <v>3.6</v>
      </c>
      <c r="B7" s="5" t="s">
        <v>247</v>
      </c>
      <c r="C7" s="2">
        <f>COUNTBLANK('3.6 Incident Response'!$C$2:C4)</f>
        <v>3</v>
      </c>
    </row>
    <row r="8" spans="1:3" ht="15.75" x14ac:dyDescent="0.25">
      <c r="A8" s="6">
        <v>3.7</v>
      </c>
      <c r="B8" s="5" t="s">
        <v>86</v>
      </c>
      <c r="C8" s="2">
        <f>COUNTBLANK('3.7 Maintenance'!$C$2:C7)</f>
        <v>6</v>
      </c>
    </row>
    <row r="9" spans="1:3" ht="15.75" x14ac:dyDescent="0.25">
      <c r="A9" s="6">
        <v>3.8</v>
      </c>
      <c r="B9" s="5" t="s">
        <v>92</v>
      </c>
      <c r="C9" s="2">
        <f>COUNTBLANK('3.8 Media Protection'!$C$2:C10)</f>
        <v>9</v>
      </c>
    </row>
    <row r="10" spans="1:3" ht="15.75" x14ac:dyDescent="0.25">
      <c r="A10" s="6">
        <v>3.9</v>
      </c>
      <c r="B10" s="5" t="s">
        <v>248</v>
      </c>
      <c r="C10" s="2">
        <f>COUNTBLANK('3.9 Personnel Security'!$C$2:C3)</f>
        <v>2</v>
      </c>
    </row>
    <row r="11" spans="1:3" ht="15.75" x14ac:dyDescent="0.25">
      <c r="A11" s="7">
        <v>3.1</v>
      </c>
      <c r="B11" s="5" t="s">
        <v>249</v>
      </c>
      <c r="C11" s="2">
        <f>COUNTBLANK('3.10 Physical Protection'!$C$2:C7)</f>
        <v>6</v>
      </c>
    </row>
    <row r="12" spans="1:3" ht="15.75" x14ac:dyDescent="0.25">
      <c r="A12" s="7">
        <v>3.11</v>
      </c>
      <c r="B12" s="5" t="s">
        <v>113</v>
      </c>
      <c r="C12" s="2">
        <f>COUNTBLANK('3.11 Risk Assessment'!$C$2:C4)</f>
        <v>3</v>
      </c>
    </row>
    <row r="13" spans="1:3" ht="15.75" x14ac:dyDescent="0.25">
      <c r="A13" s="7">
        <v>3.12</v>
      </c>
      <c r="B13" s="5" t="s">
        <v>250</v>
      </c>
      <c r="C13" s="2">
        <f>COUNTBLANK('3.12 Security Assessment'!$C$2:C5)</f>
        <v>4</v>
      </c>
    </row>
    <row r="14" spans="1:3" ht="15.75" x14ac:dyDescent="0.25">
      <c r="A14" s="6">
        <v>3.13</v>
      </c>
      <c r="B14" s="5" t="s">
        <v>251</v>
      </c>
      <c r="C14" s="2">
        <f>COUNTBLANK('3.13 System and Communications'!$C$2:C17)</f>
        <v>16</v>
      </c>
    </row>
    <row r="15" spans="1:3" ht="15.75" x14ac:dyDescent="0.25">
      <c r="A15" s="6">
        <v>3.14</v>
      </c>
      <c r="B15" s="5" t="s">
        <v>252</v>
      </c>
      <c r="C15" s="2">
        <f>COUNTBLANK('3.14 System and Information'!$C$2:C8)</f>
        <v>7</v>
      </c>
    </row>
  </sheetData>
  <sheetProtection algorithmName="SHA-512" hashValue="SMFHdguZIYL2TXJQ7Mnv+/xp3u8K5/NVlOq8t6otqbV9fcTdyF+jIMjd/PteWIK1qNXksOkhiOs6YwHjk8D8rQ==" saltValue="YOuN9FHYld/Pd3mDewpfVQ==" spinCount="100000" sheet="1" objects="1" scenarios="1"/>
  <pageMargins left="0.7" right="0.7" top="0.75" bottom="0.75" header="0.3" footer="0.3"/>
  <pageSetup firstPageNumber="16" orientation="landscape" useFirstPageNumber="1" r:id="rId1"/>
  <headerFooter>
    <oddHeader>&amp;L&amp;D &amp;T&amp;C&amp;A</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3"/>
  <sheetViews>
    <sheetView zoomScaleNormal="100" workbookViewId="0">
      <selection activeCell="A27" sqref="A27:E33"/>
    </sheetView>
  </sheetViews>
  <sheetFormatPr defaultColWidth="8.7109375" defaultRowHeight="15.75" x14ac:dyDescent="0.25"/>
  <cols>
    <col min="1" max="1" width="16.42578125" style="4" bestFit="1" customWidth="1"/>
    <col min="2" max="2" width="38" style="4" bestFit="1" customWidth="1"/>
    <col min="3" max="3" width="6.140625" style="8" bestFit="1" customWidth="1"/>
    <col min="4" max="4" width="4.42578125" style="4" customWidth="1"/>
    <col min="5" max="5" width="55" style="4" customWidth="1"/>
    <col min="6" max="6" width="29" style="4" bestFit="1" customWidth="1"/>
    <col min="7" max="7" width="16.140625" style="4" bestFit="1" customWidth="1"/>
    <col min="8" max="8" width="11.85546875" style="4" bestFit="1" customWidth="1"/>
    <col min="9" max="9" width="15.42578125" style="4" bestFit="1" customWidth="1"/>
    <col min="10" max="10" width="16.42578125" style="4" bestFit="1" customWidth="1"/>
    <col min="11" max="11" width="16.85546875" style="4" bestFit="1" customWidth="1"/>
    <col min="12" max="12" width="14.5703125" style="4" bestFit="1" customWidth="1"/>
    <col min="13" max="13" width="5.42578125" style="4" bestFit="1" customWidth="1"/>
    <col min="14" max="14" width="18" style="4" bestFit="1" customWidth="1"/>
    <col min="15" max="15" width="34.85546875" style="4" bestFit="1" customWidth="1"/>
    <col min="16" max="16" width="28.85546875" style="4" bestFit="1" customWidth="1"/>
    <col min="17" max="17" width="10.7109375" style="4" bestFit="1" customWidth="1"/>
    <col min="18" max="16384" width="8.7109375" style="4"/>
  </cols>
  <sheetData>
    <row r="1" spans="1:5" x14ac:dyDescent="0.25">
      <c r="A1" s="9" t="s">
        <v>241</v>
      </c>
      <c r="B1" s="9" t="s">
        <v>242</v>
      </c>
      <c r="C1" s="10" t="s">
        <v>236</v>
      </c>
    </row>
    <row r="2" spans="1:5" ht="15.6" customHeight="1" x14ac:dyDescent="0.25">
      <c r="A2" s="6">
        <v>3.1</v>
      </c>
      <c r="B2" s="5" t="s">
        <v>3</v>
      </c>
      <c r="C2" s="8">
        <f>'3.1 Access Control'!F2</f>
        <v>-29</v>
      </c>
      <c r="E2" s="76" t="s">
        <v>400</v>
      </c>
    </row>
    <row r="3" spans="1:5" x14ac:dyDescent="0.25">
      <c r="A3" s="6">
        <v>3.2</v>
      </c>
      <c r="B3" s="5" t="s">
        <v>243</v>
      </c>
      <c r="C3" s="8">
        <f>'3.2 Awareness and Training'!F2</f>
        <v>-11</v>
      </c>
      <c r="D3" s="41"/>
      <c r="E3" s="76"/>
    </row>
    <row r="4" spans="1:5" x14ac:dyDescent="0.25">
      <c r="A4" s="6">
        <v>3.3</v>
      </c>
      <c r="B4" s="5" t="s">
        <v>244</v>
      </c>
      <c r="C4" s="8">
        <f>'3.3 Audit and Accountability'!F2</f>
        <v>-19</v>
      </c>
      <c r="D4" s="41"/>
      <c r="E4" s="41"/>
    </row>
    <row r="5" spans="1:5" x14ac:dyDescent="0.25">
      <c r="A5" s="6">
        <v>3.4</v>
      </c>
      <c r="B5" s="5" t="s">
        <v>245</v>
      </c>
      <c r="C5" s="8">
        <f>'3.4 Configuration Management'!F2</f>
        <v>-33</v>
      </c>
      <c r="E5" s="41"/>
    </row>
    <row r="6" spans="1:5" ht="15.6" customHeight="1" x14ac:dyDescent="0.25">
      <c r="A6" s="6">
        <v>3.5</v>
      </c>
      <c r="B6" s="5" t="s">
        <v>246</v>
      </c>
      <c r="C6" s="8">
        <f>'3.5 Identification and Auth.'!F2</f>
        <v>-27</v>
      </c>
    </row>
    <row r="7" spans="1:5" x14ac:dyDescent="0.25">
      <c r="A7" s="6">
        <v>3.6</v>
      </c>
      <c r="B7" s="5" t="s">
        <v>247</v>
      </c>
      <c r="C7" s="8">
        <f>'3.6 Incident Response'!F2</f>
        <v>-11</v>
      </c>
      <c r="E7" s="42"/>
    </row>
    <row r="8" spans="1:5" x14ac:dyDescent="0.25">
      <c r="A8" s="6">
        <v>3.7</v>
      </c>
      <c r="B8" s="5" t="s">
        <v>86</v>
      </c>
      <c r="C8" s="8">
        <f>'3.7 Maintenance'!F2</f>
        <v>-18</v>
      </c>
      <c r="E8" s="75" t="s">
        <v>401</v>
      </c>
    </row>
    <row r="9" spans="1:5" x14ac:dyDescent="0.25">
      <c r="A9" s="6">
        <v>3.8</v>
      </c>
      <c r="B9" s="5" t="s">
        <v>92</v>
      </c>
      <c r="C9" s="8">
        <f>'3.8 Media Protection'!F2</f>
        <v>-23</v>
      </c>
      <c r="E9" s="75"/>
    </row>
    <row r="10" spans="1:5" x14ac:dyDescent="0.25">
      <c r="A10" s="6">
        <v>3.9</v>
      </c>
      <c r="B10" s="5" t="s">
        <v>248</v>
      </c>
      <c r="C10" s="8">
        <f>'3.9 Personnel Security'!F2</f>
        <v>-8</v>
      </c>
    </row>
    <row r="11" spans="1:5" x14ac:dyDescent="0.25">
      <c r="A11" s="7">
        <v>3.1</v>
      </c>
      <c r="B11" s="5" t="s">
        <v>249</v>
      </c>
      <c r="C11" s="8">
        <f>'3.10 Physical Protection'!F2</f>
        <v>-14</v>
      </c>
    </row>
    <row r="12" spans="1:5" x14ac:dyDescent="0.25">
      <c r="A12" s="7">
        <v>3.11</v>
      </c>
      <c r="B12" s="5" t="s">
        <v>113</v>
      </c>
      <c r="C12" s="8">
        <f>'3.11 Risk Assessment'!F2</f>
        <v>-9</v>
      </c>
    </row>
    <row r="13" spans="1:5" x14ac:dyDescent="0.25">
      <c r="A13" s="7">
        <v>3.12</v>
      </c>
      <c r="B13" s="5" t="s">
        <v>250</v>
      </c>
      <c r="C13" s="8">
        <f>'3.12 Security Assessment'!F2</f>
        <v>-13</v>
      </c>
    </row>
    <row r="14" spans="1:5" x14ac:dyDescent="0.25">
      <c r="A14" s="6">
        <v>3.13</v>
      </c>
      <c r="B14" s="5" t="s">
        <v>251</v>
      </c>
      <c r="C14" s="8">
        <f>'3.13 System and Communications'!F2</f>
        <v>-42</v>
      </c>
    </row>
    <row r="15" spans="1:5" ht="16.5" thickBot="1" x14ac:dyDescent="0.3">
      <c r="A15" s="13">
        <v>3.14</v>
      </c>
      <c r="B15" s="14" t="s">
        <v>252</v>
      </c>
      <c r="C15" s="15">
        <f>'3.14 System and Information'!F2</f>
        <v>-31</v>
      </c>
    </row>
    <row r="16" spans="1:5" x14ac:dyDescent="0.25">
      <c r="B16" s="5" t="s">
        <v>385</v>
      </c>
      <c r="C16" s="8">
        <f>SUM(C2:C15)+110</f>
        <v>-178</v>
      </c>
      <c r="E16" s="4" t="s">
        <v>393</v>
      </c>
    </row>
    <row r="17" spans="1:5" ht="8.1" customHeight="1" x14ac:dyDescent="0.25">
      <c r="B17" s="5"/>
    </row>
    <row r="18" spans="1:5" ht="12" customHeight="1" x14ac:dyDescent="0.25">
      <c r="A18" s="75" t="s">
        <v>402</v>
      </c>
      <c r="B18" s="75"/>
      <c r="C18" s="75"/>
      <c r="D18" s="75"/>
      <c r="E18" s="75"/>
    </row>
    <row r="19" spans="1:5" x14ac:dyDescent="0.25">
      <c r="A19" s="75"/>
      <c r="B19" s="75"/>
      <c r="C19" s="75"/>
      <c r="D19" s="75"/>
      <c r="E19" s="75"/>
    </row>
    <row r="20" spans="1:5" x14ac:dyDescent="0.25">
      <c r="A20" s="75"/>
      <c r="B20" s="75"/>
      <c r="C20" s="75"/>
      <c r="D20" s="75"/>
      <c r="E20" s="75"/>
    </row>
    <row r="21" spans="1:5" ht="20.45" customHeight="1" x14ac:dyDescent="0.25">
      <c r="A21" s="75"/>
      <c r="B21" s="75"/>
      <c r="C21" s="75"/>
      <c r="D21" s="75"/>
      <c r="E21" s="75"/>
    </row>
    <row r="22" spans="1:5" ht="6.6" customHeight="1" x14ac:dyDescent="0.25"/>
    <row r="23" spans="1:5" ht="21.6" customHeight="1" x14ac:dyDescent="0.25">
      <c r="A23" s="75" t="s">
        <v>408</v>
      </c>
      <c r="B23" s="75"/>
      <c r="C23" s="75"/>
      <c r="D23" s="75"/>
      <c r="E23" s="75"/>
    </row>
    <row r="24" spans="1:5" ht="20.45" customHeight="1" x14ac:dyDescent="0.25">
      <c r="A24" s="75"/>
      <c r="B24" s="75"/>
      <c r="C24" s="75"/>
      <c r="D24" s="75"/>
      <c r="E24" s="75"/>
    </row>
    <row r="25" spans="1:5" ht="18.95" customHeight="1" x14ac:dyDescent="0.25">
      <c r="A25" s="75"/>
      <c r="B25" s="75"/>
      <c r="C25" s="75"/>
      <c r="D25" s="75"/>
      <c r="E25" s="75"/>
    </row>
    <row r="26" spans="1:5" ht="5.0999999999999996" customHeight="1" x14ac:dyDescent="0.25"/>
    <row r="27" spans="1:5" ht="15.6" customHeight="1" x14ac:dyDescent="0.25">
      <c r="A27" s="75" t="s">
        <v>409</v>
      </c>
      <c r="B27" s="75"/>
      <c r="C27" s="75"/>
      <c r="D27" s="75"/>
      <c r="E27" s="75"/>
    </row>
    <row r="28" spans="1:5" x14ac:dyDescent="0.25">
      <c r="A28" s="75"/>
      <c r="B28" s="75"/>
      <c r="C28" s="75"/>
      <c r="D28" s="75"/>
      <c r="E28" s="75"/>
    </row>
    <row r="29" spans="1:5" x14ac:dyDescent="0.25">
      <c r="A29" s="75"/>
      <c r="B29" s="75"/>
      <c r="C29" s="75"/>
      <c r="D29" s="75"/>
      <c r="E29" s="75"/>
    </row>
    <row r="30" spans="1:5" x14ac:dyDescent="0.25">
      <c r="A30" s="75"/>
      <c r="B30" s="75"/>
      <c r="C30" s="75"/>
      <c r="D30" s="75"/>
      <c r="E30" s="75"/>
    </row>
    <row r="31" spans="1:5" x14ac:dyDescent="0.25">
      <c r="A31" s="75"/>
      <c r="B31" s="75"/>
      <c r="C31" s="75"/>
      <c r="D31" s="75"/>
      <c r="E31" s="75"/>
    </row>
    <row r="32" spans="1:5" x14ac:dyDescent="0.25">
      <c r="A32" s="75"/>
      <c r="B32" s="75"/>
      <c r="C32" s="75"/>
      <c r="D32" s="75"/>
      <c r="E32" s="75"/>
    </row>
    <row r="33" spans="1:5" x14ac:dyDescent="0.25">
      <c r="A33" s="75"/>
      <c r="B33" s="75"/>
      <c r="C33" s="75"/>
      <c r="D33" s="75"/>
      <c r="E33" s="75"/>
    </row>
  </sheetData>
  <sheetProtection algorithmName="SHA-512" hashValue="qPLGxCZ7FmS0VXmdkOrUL6xVBU/Irbn0StdeT0r+uL658SFxX0xSyA6G5JkHP/7GbLFLOQEW6GDkXVfBpZ2Lgg==" saltValue="OlLWojUw7lQe73+Qd7Q+MQ==" spinCount="100000" sheet="1" objects="1" scenarios="1"/>
  <mergeCells count="5">
    <mergeCell ref="E8:E9"/>
    <mergeCell ref="A23:E25"/>
    <mergeCell ref="A18:E21"/>
    <mergeCell ref="E2:E3"/>
    <mergeCell ref="A27:E33"/>
  </mergeCells>
  <pageMargins left="0.7" right="0.7" top="0.75" bottom="0.75" header="0.3" footer="0.3"/>
  <pageSetup firstPageNumber="17" orientation="landscape" useFirstPageNumber="1" r:id="rId1"/>
  <headerFooter>
    <oddHeader>&amp;L&amp;D &amp;T&amp;C&amp;A</oddHead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
  <sheetViews>
    <sheetView zoomScaleNormal="100" workbookViewId="0">
      <selection activeCell="J9" sqref="J9"/>
    </sheetView>
  </sheetViews>
  <sheetFormatPr defaultColWidth="9.5703125" defaultRowHeight="15" x14ac:dyDescent="0.25"/>
  <cols>
    <col min="1" max="1" width="16.42578125" customWidth="1"/>
    <col min="2" max="2" width="16.7109375" customWidth="1"/>
    <col min="3" max="3" width="19.42578125" customWidth="1"/>
    <col min="4" max="4" width="26.140625" customWidth="1"/>
    <col min="5" max="5" width="35.28515625" customWidth="1"/>
    <col min="6" max="6" width="20.140625" customWidth="1"/>
    <col min="7" max="7" width="17.28515625" customWidth="1"/>
    <col min="8" max="8" width="10.85546875" bestFit="1" customWidth="1"/>
    <col min="9" max="9" width="29.42578125" customWidth="1"/>
    <col min="10" max="10" width="22.140625" customWidth="1"/>
    <col min="11" max="11" width="14.42578125" customWidth="1"/>
    <col min="12" max="12" width="18.42578125" customWidth="1"/>
  </cols>
  <sheetData>
    <row r="1" spans="1:12" s="16" customFormat="1" ht="47.1" customHeight="1" x14ac:dyDescent="0.25">
      <c r="A1" s="35" t="s">
        <v>367</v>
      </c>
      <c r="B1" s="35" t="s">
        <v>368</v>
      </c>
      <c r="C1" s="35" t="s">
        <v>369</v>
      </c>
      <c r="D1" s="35" t="s">
        <v>370</v>
      </c>
      <c r="E1" s="35" t="s">
        <v>403</v>
      </c>
      <c r="F1" s="35" t="s">
        <v>371</v>
      </c>
      <c r="G1" s="35" t="s">
        <v>372</v>
      </c>
      <c r="H1" s="35" t="s">
        <v>373</v>
      </c>
      <c r="I1" s="35" t="s">
        <v>374</v>
      </c>
      <c r="J1" s="35" t="s">
        <v>375</v>
      </c>
      <c r="K1" s="35" t="s">
        <v>376</v>
      </c>
      <c r="L1" s="35" t="s">
        <v>377</v>
      </c>
    </row>
  </sheetData>
  <protectedRanges>
    <protectedRange algorithmName="SHA-512" hashValue="OM4wtXdS81jwwDE8sb+CjlP446vK2nQyn06kS9xVteb5YoZydM4MSbP/55YLsXqeoOna57+yLZ4FjbDZNWLCuQ==" saltValue="YWfiRd1/Dpb+AMyDQ/Yd1Q==" spinCount="100000" sqref="A2:L100" name="POAM"/>
  </protectedRanges>
  <pageMargins left="0.25" right="0.25" top="0.75" bottom="0.75" header="0.05" footer="0.05"/>
  <pageSetup scale="81" fitToHeight="0" orientation="landscape" r:id="rId1"/>
  <headerFooter>
    <oddHeader>&amp;L&amp;D &amp;T&amp;C&amp;A</oddHeader>
    <oddFooter>&amp;R&amp;P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111"/>
  <sheetViews>
    <sheetView workbookViewId="0">
      <selection activeCell="A83" sqref="A83"/>
    </sheetView>
  </sheetViews>
  <sheetFormatPr defaultRowHeight="15" x14ac:dyDescent="0.25"/>
  <cols>
    <col min="1" max="1" width="22" style="3" customWidth="1"/>
    <col min="2" max="2" width="94" style="1" customWidth="1"/>
  </cols>
  <sheetData>
    <row r="1" spans="1:2" ht="18.75" x14ac:dyDescent="0.3">
      <c r="A1" s="31" t="s">
        <v>254</v>
      </c>
      <c r="B1" s="32" t="s">
        <v>255</v>
      </c>
    </row>
    <row r="2" spans="1:2" ht="120" x14ac:dyDescent="0.25">
      <c r="A2" s="33" t="s">
        <v>0</v>
      </c>
      <c r="B2" s="34" t="s">
        <v>256</v>
      </c>
    </row>
    <row r="3" spans="1:2" ht="105" x14ac:dyDescent="0.25">
      <c r="A3" s="33" t="s">
        <v>2</v>
      </c>
      <c r="B3" s="34" t="s">
        <v>257</v>
      </c>
    </row>
    <row r="4" spans="1:2" ht="105" x14ac:dyDescent="0.25">
      <c r="A4" s="33" t="s">
        <v>17</v>
      </c>
      <c r="B4" s="34" t="s">
        <v>258</v>
      </c>
    </row>
    <row r="5" spans="1:2" ht="135" x14ac:dyDescent="0.25">
      <c r="A5" s="33" t="s">
        <v>18</v>
      </c>
      <c r="B5" s="34" t="s">
        <v>259</v>
      </c>
    </row>
    <row r="6" spans="1:2" ht="225" x14ac:dyDescent="0.25">
      <c r="A6" s="33" t="s">
        <v>19</v>
      </c>
      <c r="B6" s="34" t="s">
        <v>260</v>
      </c>
    </row>
    <row r="7" spans="1:2" ht="75" x14ac:dyDescent="0.25">
      <c r="A7" s="33" t="s">
        <v>20</v>
      </c>
      <c r="B7" s="34" t="s">
        <v>261</v>
      </c>
    </row>
    <row r="8" spans="1:2" ht="165" x14ac:dyDescent="0.25">
      <c r="A8" s="33" t="s">
        <v>21</v>
      </c>
      <c r="B8" s="34" t="s">
        <v>262</v>
      </c>
    </row>
    <row r="9" spans="1:2" ht="105" x14ac:dyDescent="0.25">
      <c r="A9" s="33" t="s">
        <v>22</v>
      </c>
      <c r="B9" s="34" t="s">
        <v>263</v>
      </c>
    </row>
    <row r="10" spans="1:2" ht="105" x14ac:dyDescent="0.25">
      <c r="A10" s="33" t="s">
        <v>23</v>
      </c>
      <c r="B10" s="34" t="s">
        <v>264</v>
      </c>
    </row>
    <row r="11" spans="1:2" ht="135" x14ac:dyDescent="0.25">
      <c r="A11" s="33" t="s">
        <v>24</v>
      </c>
      <c r="B11" s="34" t="s">
        <v>265</v>
      </c>
    </row>
    <row r="12" spans="1:2" ht="150" x14ac:dyDescent="0.25">
      <c r="A12" s="33" t="s">
        <v>25</v>
      </c>
      <c r="B12" s="34" t="s">
        <v>266</v>
      </c>
    </row>
    <row r="13" spans="1:2" ht="135" x14ac:dyDescent="0.25">
      <c r="A13" s="33" t="s">
        <v>26</v>
      </c>
      <c r="B13" s="34" t="s">
        <v>267</v>
      </c>
    </row>
    <row r="14" spans="1:2" x14ac:dyDescent="0.25">
      <c r="A14" s="33" t="s">
        <v>27</v>
      </c>
      <c r="B14" s="34" t="s">
        <v>357</v>
      </c>
    </row>
    <row r="15" spans="1:2" ht="45" x14ac:dyDescent="0.25">
      <c r="A15" s="33" t="s">
        <v>28</v>
      </c>
      <c r="B15" s="34" t="s">
        <v>268</v>
      </c>
    </row>
    <row r="16" spans="1:2" ht="180" x14ac:dyDescent="0.25">
      <c r="A16" s="33" t="s">
        <v>36</v>
      </c>
      <c r="B16" s="34" t="s">
        <v>269</v>
      </c>
    </row>
    <row r="17" spans="1:2" ht="60" customHeight="1" x14ac:dyDescent="0.25">
      <c r="A17" s="33" t="s">
        <v>37</v>
      </c>
      <c r="B17" s="34" t="s">
        <v>365</v>
      </c>
    </row>
    <row r="18" spans="1:2" ht="45" x14ac:dyDescent="0.25">
      <c r="A18" s="33" t="s">
        <v>38</v>
      </c>
      <c r="B18" s="34" t="s">
        <v>358</v>
      </c>
    </row>
    <row r="19" spans="1:2" ht="203.1" customHeight="1" x14ac:dyDescent="0.25">
      <c r="A19" s="33" t="s">
        <v>39</v>
      </c>
      <c r="B19" s="34" t="s">
        <v>359</v>
      </c>
    </row>
    <row r="20" spans="1:2" ht="60" x14ac:dyDescent="0.25">
      <c r="A20" s="33" t="s">
        <v>40</v>
      </c>
      <c r="B20" s="34" t="s">
        <v>360</v>
      </c>
    </row>
    <row r="21" spans="1:2" ht="120" x14ac:dyDescent="0.25">
      <c r="A21" s="33" t="s">
        <v>41</v>
      </c>
      <c r="B21" s="34" t="s">
        <v>270</v>
      </c>
    </row>
    <row r="22" spans="1:2" ht="102.95" customHeight="1" x14ac:dyDescent="0.25">
      <c r="A22" s="33" t="s">
        <v>42</v>
      </c>
      <c r="B22" s="34" t="s">
        <v>271</v>
      </c>
    </row>
    <row r="23" spans="1:2" ht="105" x14ac:dyDescent="0.25">
      <c r="A23" s="33" t="s">
        <v>43</v>
      </c>
      <c r="B23" s="34" t="s">
        <v>272</v>
      </c>
    </row>
    <row r="24" spans="1:2" ht="120" x14ac:dyDescent="0.25">
      <c r="A24" s="33" t="s">
        <v>45</v>
      </c>
      <c r="B24" s="34" t="s">
        <v>273</v>
      </c>
    </row>
    <row r="25" spans="1:2" ht="195" x14ac:dyDescent="0.25">
      <c r="A25" s="33" t="s">
        <v>146</v>
      </c>
      <c r="B25" s="34" t="s">
        <v>361</v>
      </c>
    </row>
    <row r="26" spans="1:2" ht="150" x14ac:dyDescent="0.25">
      <c r="A26" s="33" t="s">
        <v>147</v>
      </c>
      <c r="B26" s="34" t="s">
        <v>274</v>
      </c>
    </row>
    <row r="27" spans="1:2" ht="255" x14ac:dyDescent="0.25">
      <c r="A27" s="33" t="s">
        <v>148</v>
      </c>
      <c r="B27" s="34" t="s">
        <v>275</v>
      </c>
    </row>
    <row r="28" spans="1:2" ht="105" x14ac:dyDescent="0.25">
      <c r="A28" s="33" t="s">
        <v>149</v>
      </c>
      <c r="B28" s="34" t="s">
        <v>276</v>
      </c>
    </row>
    <row r="29" spans="1:2" ht="60" x14ac:dyDescent="0.25">
      <c r="A29" s="33" t="s">
        <v>150</v>
      </c>
      <c r="B29" s="34" t="s">
        <v>277</v>
      </c>
    </row>
    <row r="30" spans="1:2" ht="59.45" customHeight="1" x14ac:dyDescent="0.25">
      <c r="A30" s="33" t="s">
        <v>151</v>
      </c>
      <c r="B30" s="34" t="s">
        <v>278</v>
      </c>
    </row>
    <row r="31" spans="1:2" ht="60" x14ac:dyDescent="0.25">
      <c r="A31" s="33" t="s">
        <v>152</v>
      </c>
      <c r="B31" s="34" t="s">
        <v>279</v>
      </c>
    </row>
    <row r="32" spans="1:2" ht="120" x14ac:dyDescent="0.25">
      <c r="A32" s="33" t="s">
        <v>153</v>
      </c>
      <c r="B32" s="34" t="s">
        <v>280</v>
      </c>
    </row>
    <row r="33" spans="1:2" ht="150" x14ac:dyDescent="0.25">
      <c r="A33" s="33" t="s">
        <v>154</v>
      </c>
      <c r="B33" s="34" t="s">
        <v>362</v>
      </c>
    </row>
    <row r="34" spans="1:2" ht="90" x14ac:dyDescent="0.25">
      <c r="A34" s="33" t="s">
        <v>155</v>
      </c>
      <c r="B34" s="34" t="s">
        <v>281</v>
      </c>
    </row>
    <row r="35" spans="1:2" ht="60" x14ac:dyDescent="0.25">
      <c r="A35" s="33" t="s">
        <v>156</v>
      </c>
      <c r="B35" s="34" t="s">
        <v>282</v>
      </c>
    </row>
    <row r="36" spans="1:2" ht="180" x14ac:dyDescent="0.25">
      <c r="A36" s="33" t="s">
        <v>157</v>
      </c>
      <c r="B36" s="34" t="s">
        <v>283</v>
      </c>
    </row>
    <row r="37" spans="1:2" ht="161.1" customHeight="1" x14ac:dyDescent="0.25">
      <c r="A37" s="33" t="s">
        <v>158</v>
      </c>
      <c r="B37" s="34" t="s">
        <v>284</v>
      </c>
    </row>
    <row r="38" spans="1:2" ht="195" x14ac:dyDescent="0.25">
      <c r="A38" s="33" t="s">
        <v>159</v>
      </c>
      <c r="B38" s="34" t="s">
        <v>285</v>
      </c>
    </row>
    <row r="39" spans="1:2" ht="120" x14ac:dyDescent="0.25">
      <c r="A39" s="33" t="s">
        <v>160</v>
      </c>
      <c r="B39" s="34" t="s">
        <v>286</v>
      </c>
    </row>
    <row r="40" spans="1:2" ht="150" x14ac:dyDescent="0.25">
      <c r="A40" s="33" t="s">
        <v>161</v>
      </c>
      <c r="B40" s="34" t="s">
        <v>287</v>
      </c>
    </row>
    <row r="41" spans="1:2" ht="195" x14ac:dyDescent="0.25">
      <c r="A41" s="33" t="s">
        <v>162</v>
      </c>
      <c r="B41" s="34" t="s">
        <v>288</v>
      </c>
    </row>
    <row r="42" spans="1:2" ht="90" x14ac:dyDescent="0.25">
      <c r="A42" s="33" t="s">
        <v>163</v>
      </c>
      <c r="B42" s="34" t="s">
        <v>289</v>
      </c>
    </row>
    <row r="43" spans="1:2" ht="105" x14ac:dyDescent="0.25">
      <c r="A43" s="33" t="s">
        <v>164</v>
      </c>
      <c r="B43" s="34" t="s">
        <v>290</v>
      </c>
    </row>
    <row r="44" spans="1:2" ht="120" x14ac:dyDescent="0.25">
      <c r="A44" s="33" t="s">
        <v>165</v>
      </c>
      <c r="B44" s="34" t="s">
        <v>291</v>
      </c>
    </row>
    <row r="45" spans="1:2" ht="120" x14ac:dyDescent="0.25">
      <c r="A45" s="33" t="s">
        <v>166</v>
      </c>
      <c r="B45" s="34" t="s">
        <v>292</v>
      </c>
    </row>
    <row r="46" spans="1:2" ht="159.94999999999999" customHeight="1" x14ac:dyDescent="0.25">
      <c r="A46" s="33" t="s">
        <v>167</v>
      </c>
      <c r="B46" s="34" t="s">
        <v>293</v>
      </c>
    </row>
    <row r="47" spans="1:2" ht="204" customHeight="1" x14ac:dyDescent="0.25">
      <c r="A47" s="33" t="s">
        <v>168</v>
      </c>
      <c r="B47" s="34" t="s">
        <v>294</v>
      </c>
    </row>
    <row r="48" spans="1:2" ht="60" x14ac:dyDescent="0.25">
      <c r="A48" s="33" t="s">
        <v>169</v>
      </c>
      <c r="B48" s="34" t="s">
        <v>295</v>
      </c>
    </row>
    <row r="49" spans="1:2" ht="45" x14ac:dyDescent="0.25">
      <c r="A49" s="33" t="s">
        <v>170</v>
      </c>
      <c r="B49" s="34" t="s">
        <v>296</v>
      </c>
    </row>
    <row r="50" spans="1:2" ht="45" x14ac:dyDescent="0.25">
      <c r="A50" s="33" t="s">
        <v>171</v>
      </c>
      <c r="B50" s="34" t="s">
        <v>297</v>
      </c>
    </row>
    <row r="51" spans="1:2" ht="75" x14ac:dyDescent="0.25">
      <c r="A51" s="33" t="s">
        <v>172</v>
      </c>
      <c r="B51" s="34" t="s">
        <v>298</v>
      </c>
    </row>
    <row r="52" spans="1:2" x14ac:dyDescent="0.25">
      <c r="A52" s="33" t="s">
        <v>173</v>
      </c>
      <c r="B52" s="34" t="s">
        <v>299</v>
      </c>
    </row>
    <row r="53" spans="1:2" ht="45" x14ac:dyDescent="0.25">
      <c r="A53" s="33" t="s">
        <v>174</v>
      </c>
      <c r="B53" s="34" t="s">
        <v>300</v>
      </c>
    </row>
    <row r="54" spans="1:2" x14ac:dyDescent="0.25">
      <c r="A54" s="33" t="s">
        <v>175</v>
      </c>
      <c r="B54" s="34" t="s">
        <v>301</v>
      </c>
    </row>
    <row r="55" spans="1:2" ht="135" x14ac:dyDescent="0.25">
      <c r="A55" s="33" t="s">
        <v>176</v>
      </c>
      <c r="B55" s="34" t="s">
        <v>302</v>
      </c>
    </row>
    <row r="56" spans="1:2" ht="247.5" customHeight="1" x14ac:dyDescent="0.25">
      <c r="A56" s="33" t="s">
        <v>177</v>
      </c>
      <c r="B56" s="34" t="s">
        <v>303</v>
      </c>
    </row>
    <row r="57" spans="1:2" ht="165" x14ac:dyDescent="0.25">
      <c r="A57" s="33" t="s">
        <v>178</v>
      </c>
      <c r="B57" s="34" t="s">
        <v>304</v>
      </c>
    </row>
    <row r="58" spans="1:2" ht="90" x14ac:dyDescent="0.25">
      <c r="A58" s="33" t="s">
        <v>179</v>
      </c>
      <c r="B58" s="34" t="s">
        <v>305</v>
      </c>
    </row>
    <row r="59" spans="1:2" ht="75" x14ac:dyDescent="0.25">
      <c r="A59" s="33" t="s">
        <v>180</v>
      </c>
      <c r="B59" s="34" t="s">
        <v>306</v>
      </c>
    </row>
    <row r="60" spans="1:2" ht="102" customHeight="1" x14ac:dyDescent="0.25">
      <c r="A60" s="33" t="s">
        <v>181</v>
      </c>
      <c r="B60" s="34" t="s">
        <v>307</v>
      </c>
    </row>
    <row r="61" spans="1:2" ht="60" x14ac:dyDescent="0.25">
      <c r="A61" s="33" t="s">
        <v>182</v>
      </c>
      <c r="B61" s="34" t="s">
        <v>308</v>
      </c>
    </row>
    <row r="62" spans="1:2" ht="45" x14ac:dyDescent="0.25">
      <c r="A62" s="33" t="s">
        <v>183</v>
      </c>
      <c r="B62" s="34" t="s">
        <v>309</v>
      </c>
    </row>
    <row r="63" spans="1:2" ht="60" x14ac:dyDescent="0.25">
      <c r="A63" s="33" t="s">
        <v>184</v>
      </c>
      <c r="B63" s="34" t="s">
        <v>310</v>
      </c>
    </row>
    <row r="64" spans="1:2" ht="135" x14ac:dyDescent="0.25">
      <c r="A64" s="33" t="s">
        <v>185</v>
      </c>
      <c r="B64" s="34" t="s">
        <v>311</v>
      </c>
    </row>
    <row r="65" spans="1:2" ht="146.1" customHeight="1" x14ac:dyDescent="0.25">
      <c r="A65" s="33" t="s">
        <v>186</v>
      </c>
      <c r="B65" s="34" t="s">
        <v>312</v>
      </c>
    </row>
    <row r="66" spans="1:2" ht="75" x14ac:dyDescent="0.25">
      <c r="A66" s="33" t="s">
        <v>187</v>
      </c>
      <c r="B66" s="34" t="s">
        <v>313</v>
      </c>
    </row>
    <row r="67" spans="1:2" ht="240" x14ac:dyDescent="0.25">
      <c r="A67" s="33" t="s">
        <v>188</v>
      </c>
      <c r="B67" s="34" t="s">
        <v>314</v>
      </c>
    </row>
    <row r="68" spans="1:2" ht="45" x14ac:dyDescent="0.25">
      <c r="A68" s="33" t="s">
        <v>189</v>
      </c>
      <c r="B68" s="34" t="s">
        <v>315</v>
      </c>
    </row>
    <row r="69" spans="1:2" ht="165" x14ac:dyDescent="0.25">
      <c r="A69" s="33" t="s">
        <v>190</v>
      </c>
      <c r="B69" s="34" t="s">
        <v>316</v>
      </c>
    </row>
    <row r="70" spans="1:2" ht="30" x14ac:dyDescent="0.25">
      <c r="A70" s="33" t="s">
        <v>191</v>
      </c>
      <c r="B70" s="34" t="s">
        <v>317</v>
      </c>
    </row>
    <row r="71" spans="1:2" ht="180" x14ac:dyDescent="0.25">
      <c r="A71" s="33" t="s">
        <v>192</v>
      </c>
      <c r="B71" s="34" t="s">
        <v>318</v>
      </c>
    </row>
    <row r="72" spans="1:2" ht="60" x14ac:dyDescent="0.25">
      <c r="A72" s="33" t="s">
        <v>193</v>
      </c>
      <c r="B72" s="34" t="s">
        <v>319</v>
      </c>
    </row>
    <row r="73" spans="1:2" ht="75" x14ac:dyDescent="0.25">
      <c r="A73" s="33" t="s">
        <v>194</v>
      </c>
      <c r="B73" s="34" t="s">
        <v>320</v>
      </c>
    </row>
    <row r="74" spans="1:2" ht="75" x14ac:dyDescent="0.25">
      <c r="A74" s="33" t="s">
        <v>195</v>
      </c>
      <c r="B74" s="34" t="s">
        <v>321</v>
      </c>
    </row>
    <row r="75" spans="1:2" ht="247.5" customHeight="1" x14ac:dyDescent="0.25">
      <c r="A75" s="33" t="s">
        <v>235</v>
      </c>
      <c r="B75" s="34" t="s">
        <v>322</v>
      </c>
    </row>
    <row r="76" spans="1:2" ht="165" x14ac:dyDescent="0.25">
      <c r="A76" s="33" t="s">
        <v>196</v>
      </c>
      <c r="B76" s="34" t="s">
        <v>323</v>
      </c>
    </row>
    <row r="77" spans="1:2" ht="120" x14ac:dyDescent="0.25">
      <c r="A77" s="33" t="s">
        <v>197</v>
      </c>
      <c r="B77" s="34" t="s">
        <v>324</v>
      </c>
    </row>
    <row r="78" spans="1:2" ht="30" x14ac:dyDescent="0.25">
      <c r="A78" s="33" t="s">
        <v>198</v>
      </c>
      <c r="B78" s="34" t="s">
        <v>325</v>
      </c>
    </row>
    <row r="79" spans="1:2" ht="90" x14ac:dyDescent="0.25">
      <c r="A79" s="33" t="s">
        <v>199</v>
      </c>
      <c r="B79" s="34" t="s">
        <v>326</v>
      </c>
    </row>
    <row r="80" spans="1:2" x14ac:dyDescent="0.25">
      <c r="A80" s="33" t="s">
        <v>200</v>
      </c>
      <c r="B80" s="34" t="s">
        <v>327</v>
      </c>
    </row>
    <row r="81" spans="1:2" ht="45" x14ac:dyDescent="0.25">
      <c r="A81" s="33" t="s">
        <v>201</v>
      </c>
      <c r="B81" s="34" t="s">
        <v>328</v>
      </c>
    </row>
    <row r="82" spans="1:2" ht="120" x14ac:dyDescent="0.25">
      <c r="A82" s="33" t="s">
        <v>202</v>
      </c>
      <c r="B82" s="34" t="s">
        <v>329</v>
      </c>
    </row>
    <row r="83" spans="1:2" ht="180" x14ac:dyDescent="0.25">
      <c r="A83" s="33" t="s">
        <v>203</v>
      </c>
      <c r="B83" s="34" t="s">
        <v>330</v>
      </c>
    </row>
    <row r="84" spans="1:2" ht="60" x14ac:dyDescent="0.25">
      <c r="A84" s="33" t="s">
        <v>204</v>
      </c>
      <c r="B84" s="34" t="s">
        <v>331</v>
      </c>
    </row>
    <row r="85" spans="1:2" ht="135" x14ac:dyDescent="0.25">
      <c r="A85" s="33" t="s">
        <v>205</v>
      </c>
      <c r="B85" s="34" t="s">
        <v>332</v>
      </c>
    </row>
    <row r="86" spans="1:2" ht="120" x14ac:dyDescent="0.25">
      <c r="A86" s="33" t="s">
        <v>206</v>
      </c>
      <c r="B86" s="34" t="s">
        <v>363</v>
      </c>
    </row>
    <row r="87" spans="1:2" ht="180" x14ac:dyDescent="0.25">
      <c r="A87" s="33" t="s">
        <v>207</v>
      </c>
      <c r="B87" s="34" t="s">
        <v>333</v>
      </c>
    </row>
    <row r="88" spans="1:2" ht="240" x14ac:dyDescent="0.25">
      <c r="A88" s="33" t="s">
        <v>208</v>
      </c>
      <c r="B88" s="34" t="s">
        <v>334</v>
      </c>
    </row>
    <row r="89" spans="1:2" ht="210" x14ac:dyDescent="0.25">
      <c r="A89" s="33" t="s">
        <v>209</v>
      </c>
      <c r="B89" s="34" t="s">
        <v>335</v>
      </c>
    </row>
    <row r="90" spans="1:2" ht="189.6" customHeight="1" x14ac:dyDescent="0.25">
      <c r="A90" s="33" t="s">
        <v>210</v>
      </c>
      <c r="B90" s="34" t="s">
        <v>336</v>
      </c>
    </row>
    <row r="91" spans="1:2" ht="150" x14ac:dyDescent="0.25">
      <c r="A91" s="33" t="s">
        <v>211</v>
      </c>
      <c r="B91" s="34" t="s">
        <v>337</v>
      </c>
    </row>
    <row r="92" spans="1:2" ht="165" x14ac:dyDescent="0.25">
      <c r="A92" s="33" t="s">
        <v>212</v>
      </c>
      <c r="B92" s="34" t="s">
        <v>338</v>
      </c>
    </row>
    <row r="93" spans="1:2" ht="45" x14ac:dyDescent="0.25">
      <c r="A93" s="33" t="s">
        <v>213</v>
      </c>
      <c r="B93" s="34" t="s">
        <v>339</v>
      </c>
    </row>
    <row r="94" spans="1:2" ht="60" x14ac:dyDescent="0.25">
      <c r="A94" s="33" t="s">
        <v>214</v>
      </c>
      <c r="B94" s="34" t="s">
        <v>340</v>
      </c>
    </row>
    <row r="95" spans="1:2" ht="120" x14ac:dyDescent="0.25">
      <c r="A95" s="33" t="s">
        <v>215</v>
      </c>
      <c r="B95" s="34" t="s">
        <v>341</v>
      </c>
    </row>
    <row r="96" spans="1:2" ht="225" x14ac:dyDescent="0.25">
      <c r="A96" s="33" t="s">
        <v>216</v>
      </c>
      <c r="B96" s="34" t="s">
        <v>364</v>
      </c>
    </row>
    <row r="97" spans="1:2" ht="74.099999999999994" customHeight="1" x14ac:dyDescent="0.25">
      <c r="A97" s="33" t="s">
        <v>217</v>
      </c>
      <c r="B97" s="34" t="s">
        <v>342</v>
      </c>
    </row>
    <row r="98" spans="1:2" ht="60" x14ac:dyDescent="0.25">
      <c r="A98" s="33" t="s">
        <v>218</v>
      </c>
      <c r="B98" s="34" t="s">
        <v>343</v>
      </c>
    </row>
    <row r="99" spans="1:2" ht="90" x14ac:dyDescent="0.25">
      <c r="A99" s="33" t="s">
        <v>219</v>
      </c>
      <c r="B99" s="34" t="s">
        <v>344</v>
      </c>
    </row>
    <row r="100" spans="1:2" ht="60" x14ac:dyDescent="0.25">
      <c r="A100" s="33" t="s">
        <v>220</v>
      </c>
      <c r="B100" s="34" t="s">
        <v>345</v>
      </c>
    </row>
    <row r="101" spans="1:2" ht="120" x14ac:dyDescent="0.25">
      <c r="A101" s="33" t="s">
        <v>221</v>
      </c>
      <c r="B101" s="34" t="s">
        <v>346</v>
      </c>
    </row>
    <row r="102" spans="1:2" ht="120" x14ac:dyDescent="0.25">
      <c r="A102" s="33" t="s">
        <v>222</v>
      </c>
      <c r="B102" s="34" t="s">
        <v>347</v>
      </c>
    </row>
    <row r="103" spans="1:2" ht="90" x14ac:dyDescent="0.25">
      <c r="A103" s="33" t="s">
        <v>223</v>
      </c>
      <c r="B103" s="34" t="s">
        <v>348</v>
      </c>
    </row>
    <row r="104" spans="1:2" ht="105" x14ac:dyDescent="0.25">
      <c r="A104" s="33" t="s">
        <v>224</v>
      </c>
      <c r="B104" s="34" t="s">
        <v>349</v>
      </c>
    </row>
    <row r="105" spans="1:2" ht="180" x14ac:dyDescent="0.25">
      <c r="A105" s="33" t="s">
        <v>225</v>
      </c>
      <c r="B105" s="34" t="s">
        <v>350</v>
      </c>
    </row>
    <row r="106" spans="1:2" ht="270" x14ac:dyDescent="0.25">
      <c r="A106" s="33" t="s">
        <v>226</v>
      </c>
      <c r="B106" s="34" t="s">
        <v>351</v>
      </c>
    </row>
    <row r="107" spans="1:2" ht="105" x14ac:dyDescent="0.25">
      <c r="A107" s="33" t="s">
        <v>227</v>
      </c>
      <c r="B107" s="34" t="s">
        <v>352</v>
      </c>
    </row>
    <row r="108" spans="1:2" ht="150" x14ac:dyDescent="0.25">
      <c r="A108" s="33" t="s">
        <v>228</v>
      </c>
      <c r="B108" s="34" t="s">
        <v>353</v>
      </c>
    </row>
    <row r="109" spans="1:2" ht="74.099999999999994" customHeight="1" x14ac:dyDescent="0.25">
      <c r="A109" s="33" t="s">
        <v>229</v>
      </c>
      <c r="B109" s="34" t="s">
        <v>354</v>
      </c>
    </row>
    <row r="110" spans="1:2" ht="233.45" customHeight="1" x14ac:dyDescent="0.25">
      <c r="A110" s="33" t="s">
        <v>230</v>
      </c>
      <c r="B110" s="34" t="s">
        <v>355</v>
      </c>
    </row>
    <row r="111" spans="1:2" ht="195" x14ac:dyDescent="0.25">
      <c r="A111" s="33" t="s">
        <v>231</v>
      </c>
      <c r="B111" s="34" t="s">
        <v>356</v>
      </c>
    </row>
  </sheetData>
  <sheetProtection algorithmName="SHA-512" hashValue="YzFb0jIZyY4CJcOtI7tup7txt5f8//CaE3zPxGUglIgYuxsJAoHORAeCRWi+1z2EKXl/ZqGSh3iGBHDs0UIgiQ==" saltValue="IId56mMNGgYLslOfgsX40Q==" spinCount="100000" sheet="1" objects="1" scenarios="1"/>
  <hyperlinks>
    <hyperlink ref="A2" location="'3.1 Access Control'!A2" display="3.1.1"/>
    <hyperlink ref="A3" location="'3.1 Access Control'!A3" display="3.1.2"/>
    <hyperlink ref="A4" location="'3.1 Access Control'!A4" display="3.1.3"/>
    <hyperlink ref="A5" location="'3.1 Access Control'!A5" display="3.1.4"/>
    <hyperlink ref="A6" location="'3.1 Access Control'!A6" display="3.1.5"/>
    <hyperlink ref="A7" location="'3.1 Access Control'!A7" display="3.1.6"/>
    <hyperlink ref="A8" location="'3.1 Access Control'!A8" display="3.1.7"/>
    <hyperlink ref="A9" location="'3.1 Access Control'!A9" display="3.1.8"/>
    <hyperlink ref="A10" location="'3.1 Access Control'!A10" display="3.1.9"/>
    <hyperlink ref="A11" location="'3.1 Access Control'!A11" display="3.1.10"/>
    <hyperlink ref="A12" location="'3.1 Access Control'!A12" display="3.1.11"/>
    <hyperlink ref="A13" location="'3.1 Access Control'!A13" display="3.1.12"/>
    <hyperlink ref="A14" location="'3.1 Access Control'!A14" display="3.1.13"/>
    <hyperlink ref="A15" location="'3.1 Access Control'!A15" display="3.1.14"/>
    <hyperlink ref="A16:A21" location="'3.1 Access Control'!A1" display="3.1.15"/>
    <hyperlink ref="A22:A23" location="'3.1 Access Control'!A1" display="3.1.21"/>
    <hyperlink ref="A24:A26" location="'3.2 Awareness and Training'!A1" display="3.2.1"/>
    <hyperlink ref="A27:A35" location="'3.3 Audit and Accountability'!A1" display="3.3.1"/>
    <hyperlink ref="A36:A44" location="'3.4 Configuration Management'!A1" display="3.4.1"/>
    <hyperlink ref="A45:A55" location="'3.5 Identification and Auth.'!A1" display="3.5.1"/>
    <hyperlink ref="A56:A58" location="'3.6 Incident Response'!A1" display="3.6.1"/>
    <hyperlink ref="A59:A64" location="'3.7 Maintenance'!A1" display="3.7.1"/>
    <hyperlink ref="A65" location="'3.8 Media Protection'!A2" display="3.8.1"/>
    <hyperlink ref="A66:A73" location="'3.8 Media Protection'!A1" display="3.8.2"/>
    <hyperlink ref="A74:A75" location="'3.9 Personnel Security'!A1" display="3.9.1"/>
    <hyperlink ref="A76:A81" location="'3.10 Physical Protection'!A1" display="3.10.1"/>
    <hyperlink ref="A82:A84" location="'3.11 Risk Assessment'!A1" display="3.11.1"/>
    <hyperlink ref="A85:A88" location="'3.12 Security Assessment'!A1" display="3.12.1"/>
    <hyperlink ref="A89:A104" location="'3.13 System and Communications'!A1" display="3.13.1"/>
    <hyperlink ref="A105:A111" location="'3.14 System and Information'!A1" display="3.14.1"/>
    <hyperlink ref="A16" location="'3.1 Access Control'!A16" display="3.1.15"/>
    <hyperlink ref="A17" location="'3.1 Access Control'!A17" display="3.1.16"/>
    <hyperlink ref="A18" location="'3.1 Access Control'!A18" display="3.1.17"/>
    <hyperlink ref="A19" location="'3.1 Access Control'!A19" display="3.1.18"/>
    <hyperlink ref="A20" location="'3.1 Access Control'!A20" display="3.1.19"/>
    <hyperlink ref="A21" location="'3.1 Access Control'!A21" display="3.1.20"/>
    <hyperlink ref="A22" location="'3.1 Access Control'!A22" display="3.1.21"/>
    <hyperlink ref="A23" location="'3.1 Access Control'!A23" display="3.1.22"/>
    <hyperlink ref="A24" location="'3.2 Awareness and Training'!A2" display="3.2.1"/>
    <hyperlink ref="A25" location="'3.2 Awareness and Training'!A3" display="3.2.2"/>
    <hyperlink ref="A26" location="'3.2 Awareness and Training'!A4" display="3.2.3"/>
    <hyperlink ref="A27" location="'3.3 Audit and Accountability'!A2" display="3.3.1"/>
    <hyperlink ref="A28" location="'3.3 Audit and Accountability'!A3" display="3.3.2"/>
    <hyperlink ref="A29" location="'3.3 Audit and Accountability'!A4" display="3.3.3"/>
    <hyperlink ref="A30" location="'3.3 Audit and Accountability'!A5" display="3.3.4"/>
    <hyperlink ref="A31" location="'3.3 Audit and Accountability'!A6" display="3.3.5"/>
    <hyperlink ref="A32" location="'3.3 Audit and Accountability'!A7" display="3.3.6"/>
    <hyperlink ref="A33" location="'3.3 Audit and Accountability'!A8" display="3.3.7"/>
    <hyperlink ref="A34" location="'3.3 Audit and Accountability'!A9" display="3.3.8"/>
    <hyperlink ref="A35" location="'3.3 Audit and Accountability'!A10" display="3.3.9"/>
    <hyperlink ref="A36" location="'3.4 Configuration Management'!A2" display="3.4.1"/>
    <hyperlink ref="A37" location="'3.4 Configuration Management'!A3" display="3.4.2"/>
    <hyperlink ref="A38" location="'3.4 Configuration Management'!A4" display="3.4.3"/>
    <hyperlink ref="A39" location="'3.4 Configuration Management'!A5" display="3.4.4"/>
    <hyperlink ref="A40" location="'3.4 Configuration Management'!A6" display="3.4.5"/>
    <hyperlink ref="A41" location="'3.4 Configuration Management'!A7" display="3.4.6"/>
    <hyperlink ref="A42" location="'3.4 Configuration Management'!A8" display="3.4.7"/>
    <hyperlink ref="A43" location="'3.4 Configuration Management'!A9" display="3.4.8"/>
    <hyperlink ref="A44" location="'3.4 Configuration Management'!A10" display="3.4.9"/>
    <hyperlink ref="A45" location="'3.5 Identification and Auth.'!A2" display="3.5.1"/>
    <hyperlink ref="A46" location="'3.5 Identification and Auth.'!A3" display="3.5.2"/>
    <hyperlink ref="A47" location="'3.5 Identification and Auth.'!A4" display="3.5.3"/>
    <hyperlink ref="A48" location="'3.5 Identification and Auth.'!A5" display="3.5.4"/>
    <hyperlink ref="A49" location="'3.5 Identification and Auth.'!A6" display="3.5.5"/>
    <hyperlink ref="A50" location="'3.5 Identification and Auth.'!A7" display="3.5.6"/>
    <hyperlink ref="A51" location="'3.5 Identification and Auth.'!A8" display="3.5.7"/>
    <hyperlink ref="A52" location="'3.5 Identification and Auth.'!A9" display="3.5.8"/>
    <hyperlink ref="A53" location="'3.5 Identification and Auth.'!A10" display="3.5.9"/>
    <hyperlink ref="A54" location="'3.5 Identification and Auth.'!A11" display="3.5.10"/>
    <hyperlink ref="A55" location="'3.5 Identification and Auth.'!A12" display="3.5.11"/>
    <hyperlink ref="A56" location="'3.6 Incident Response'!A2" display="3.6.1"/>
    <hyperlink ref="A57" location="'3.6 Incident Response'!A3" display="3.6.2"/>
    <hyperlink ref="A58" location="'3.6 Incident Response'!A4" display="3.6.3"/>
    <hyperlink ref="A59" location="'3.7 Maintenance'!A2" display="3.7.1"/>
    <hyperlink ref="A60" location="'3.7 Maintenance'!A3" display="3.7.2"/>
    <hyperlink ref="A61" location="'3.7 Maintenance'!A4" display="3.7.3"/>
    <hyperlink ref="A62" location="'3.7 Maintenance'!A5" display="3.7.4"/>
    <hyperlink ref="A63" location="'3.7 Maintenance'!A6" display="3.7.5"/>
    <hyperlink ref="A64" location="'3.7 Maintenance'!A7" display="3.7.6"/>
    <hyperlink ref="A66" location="'3.8 Media Protection'!A3" display="3.8.2"/>
    <hyperlink ref="A67" location="'3.8 Media Protection'!A4" display="3.8.3"/>
    <hyperlink ref="A68" location="'3.8 Media Protection'!A5" display="3.8.4"/>
    <hyperlink ref="A69" location="'3.8 Media Protection'!A6" display="3.8.5"/>
    <hyperlink ref="A70" location="'3.8 Media Protection'!A7" display="3.8.6"/>
    <hyperlink ref="A71" location="'3.8 Media Protection'!A8" display="3.8.7"/>
    <hyperlink ref="A72" location="'3.8 Media Protection'!A9" display="3.8.8"/>
    <hyperlink ref="A73" location="'3.8 Media Protection'!A10" display="3.8.9"/>
    <hyperlink ref="A74" location="'3.9 Personnel Security'!A2" display="3.9.1"/>
    <hyperlink ref="A75" location="'3.9 Personnel Security'!A3" display="3.9.2"/>
    <hyperlink ref="A76" location="'3.10 Physical Protection'!A2" display="3.10.1"/>
    <hyperlink ref="A77" location="'3.10 Physical Protection'!A3" display="3.10.2"/>
    <hyperlink ref="A78" location="'3.10 Physical Protection'!A4" display="3.10.3"/>
    <hyperlink ref="A79" location="'3.10 Physical Protection'!A5" display="3.10.4"/>
    <hyperlink ref="A80" location="'3.10 Physical Protection'!A6" display="3.10.5"/>
    <hyperlink ref="A81" location="'3.10 Physical Protection'!A7" display="3.10.6"/>
    <hyperlink ref="A82" location="'3.11 Risk Assessment'!A2" display="3.11.1"/>
    <hyperlink ref="A83" location="'3.11 Risk Assessment'!A3" display="3.11.2"/>
    <hyperlink ref="A84" location="'3.11 Risk Assessment'!A4" display="3.11.3"/>
    <hyperlink ref="A85" location="'3.12 Security Assessment'!A2" display="3.12.1"/>
    <hyperlink ref="A86" location="'3.12 Security Assessment'!A3" display="3.12.2"/>
    <hyperlink ref="A87" location="'3.12 Security Assessment'!A4" display="3.12.3"/>
    <hyperlink ref="A88" location="'3.12 Security Assessment'!A5" display="3.12.4"/>
    <hyperlink ref="A89" location="'3.13 System and Communications'!A2" display="3.13.1"/>
    <hyperlink ref="A90" location="'3.13 System and Communications'!A3" display="3.13.2"/>
    <hyperlink ref="A91" location="'3.13 System and Communications'!A4" display="3.13.3"/>
    <hyperlink ref="A92" location="'3.13 System and Communications'!A5" display="3.13.4"/>
    <hyperlink ref="A93" location="'3.13 System and Communications'!A6" display="3.13.5"/>
    <hyperlink ref="A94" location="'3.13 System and Communications'!A7" display="3.13.6"/>
    <hyperlink ref="A95" location="'3.13 System and Communications'!A8" display="3.13.7"/>
    <hyperlink ref="A96" location="'3.13 System and Communications'!A9" display="3.13.8"/>
    <hyperlink ref="A97" location="'3.13 System and Communications'!A10" display="3.13.9"/>
    <hyperlink ref="A98" location="'3.13 System and Communications'!A11" display="3.13.10"/>
    <hyperlink ref="A99" location="'3.13 System and Communications'!A12" display="3.13.11"/>
    <hyperlink ref="A100" location="'3.13 System and Communications'!A13" display="3.13.12"/>
    <hyperlink ref="A101" location="'3.13 System and Communications'!A14" display="3.13.13"/>
    <hyperlink ref="A102" location="'3.13 System and Communications'!A15" display="3.13.14"/>
    <hyperlink ref="A103" location="'3.13 System and Communications'!A16" display="3.13.15"/>
    <hyperlink ref="A104" location="'3.13 System and Communications'!A17" display="3.13.16"/>
    <hyperlink ref="A105" location="'3.14 System and Information'!A2" display="3.14.1"/>
    <hyperlink ref="A106" location="'3.14 System and Information'!A3" display="3.14.2"/>
    <hyperlink ref="A107" location="'3.14 System and Information'!A4" display="3.14.3"/>
    <hyperlink ref="A108" location="'3.14 System and Information'!A5" display="3.14.4"/>
    <hyperlink ref="A109" location="'3.14 System and Information'!A6" display="3.14.5"/>
    <hyperlink ref="A110" location="'3.14 System and Information'!A7" display="3.14.6"/>
    <hyperlink ref="A111" location="'3.14 System and Information'!A8" display="3.14.7"/>
  </hyperlinks>
  <pageMargins left="0.7" right="0.7" top="0.75" bottom="0.75" header="0.3" footer="0.3"/>
  <pageSetup orientation="landscape" r:id="rId1"/>
  <headerFooter>
    <oddHeader>&amp;L&amp;D &amp;T&amp;C&amp;A</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5"/>
  <sheetViews>
    <sheetView workbookViewId="0">
      <selection activeCell="B13" sqref="B13"/>
    </sheetView>
  </sheetViews>
  <sheetFormatPr defaultRowHeight="15" x14ac:dyDescent="0.25"/>
  <sheetData>
    <row r="1" spans="1:1" x14ac:dyDescent="0.25">
      <c r="A1" t="s">
        <v>234</v>
      </c>
    </row>
    <row r="2" spans="1:1" x14ac:dyDescent="0.25">
      <c r="A2" t="s">
        <v>238</v>
      </c>
    </row>
    <row r="3" spans="1:1" x14ac:dyDescent="0.25">
      <c r="A3" t="s">
        <v>239</v>
      </c>
    </row>
    <row r="4" spans="1:1" x14ac:dyDescent="0.25">
      <c r="A4" t="s">
        <v>233</v>
      </c>
    </row>
    <row r="5" spans="1:1" x14ac:dyDescent="0.25">
      <c r="A5" t="s">
        <v>237</v>
      </c>
    </row>
  </sheetData>
  <sheetProtection algorithmName="SHA-512" hashValue="IQw6fPDAoVpeDZSVvZyQBbqdqQjTnM1PFzZfFqmUBVOeNZDu7JtkNJBM4eRCwIFHyCsUTpnnmtFzqXsfMZeIxA==" saltValue="rMTbo4nnIPzrk9R9NJHi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 Page</vt:lpstr>
      <vt:lpstr>Instruction</vt:lpstr>
      <vt:lpstr>3.1 Access Control</vt:lpstr>
      <vt:lpstr>3.2 Awareness and Training</vt:lpstr>
      <vt:lpstr>3.3 Audit and Accountability</vt:lpstr>
      <vt:lpstr>3.4 Configuration Management</vt:lpstr>
      <vt:lpstr>3.5 Identification and Auth.</vt:lpstr>
      <vt:lpstr>3.6 Incident Response</vt:lpstr>
      <vt:lpstr>3.7 Maintenance</vt:lpstr>
      <vt:lpstr>3.8 Media Protection</vt:lpstr>
      <vt:lpstr>3.9 Personnel Security</vt:lpstr>
      <vt:lpstr>3.10 Physical Protection</vt:lpstr>
      <vt:lpstr>3.11 Risk Assessment</vt:lpstr>
      <vt:lpstr>3.12 Security Assessment</vt:lpstr>
      <vt:lpstr>3.13 System and Communications</vt:lpstr>
      <vt:lpstr>3.14 System and Information</vt:lpstr>
      <vt:lpstr>Completion of the Questionnaire</vt:lpstr>
      <vt:lpstr>Summary</vt:lpstr>
      <vt:lpstr>Master POAM List</vt:lpstr>
      <vt:lpstr>Reference</vt:lpstr>
      <vt:lpstr>Sheet2</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 Xinlei</dc:creator>
  <cp:lastModifiedBy>Rivas, Spelile Nyembezi</cp:lastModifiedBy>
  <cp:lastPrinted>2020-12-08T16:01:37Z</cp:lastPrinted>
  <dcterms:created xsi:type="dcterms:W3CDTF">2020-04-15T21:00:44Z</dcterms:created>
  <dcterms:modified xsi:type="dcterms:W3CDTF">2020-12-09T14:41:24Z</dcterms:modified>
</cp:coreProperties>
</file>